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handikappforbunden.sharepoint.com/styrelsen/Delade dokument/Kongress 2023/Handlingar/Färdiga kongresshandlingar/"/>
    </mc:Choice>
  </mc:AlternateContent>
  <xr:revisionPtr revIDLastSave="11" documentId="13_ncr:1_{499D6B2A-A6E4-4C53-A870-5540359E323E}" xr6:coauthVersionLast="47" xr6:coauthVersionMax="47" xr10:uidLastSave="{9FB95A29-D7F0-4929-850B-A9DFC927AB5D}"/>
  <bookViews>
    <workbookView minimized="1" xWindow="2537" yWindow="2451" windowWidth="12343" windowHeight="6206" tabRatio="843" xr2:uid="{00000000-000D-0000-FFFF-FFFF00000000}"/>
  </bookViews>
  <sheets>
    <sheet name="Total" sheetId="12" r:id="rId1"/>
    <sheet name="101&amp;201" sheetId="1" r:id="rId2"/>
    <sheet name="201" sheetId="2" state="hidden" r:id="rId3"/>
    <sheet name="205" sheetId="21" r:id="rId4"/>
    <sheet name="206" sheetId="5" r:id="rId5"/>
    <sheet name="901" sheetId="6" r:id="rId6"/>
    <sheet name="Personalbudget" sheetId="13" state="hidden" r:id="rId7"/>
    <sheet name="Styrelsearvode" sheetId="14" state="hidden" r:id="rId8"/>
    <sheet name="Förd.medlemsavg%" sheetId="15" state="hidden" r:id="rId9"/>
    <sheet name="Spec.lokal" sheetId="17" state="hidden" r:id="rId10"/>
    <sheet name="Spec." sheetId="16" state="hidden" r:id="rId11"/>
    <sheet name="Spec. städ" sheetId="18" state="hidden" r:id="rId12"/>
  </sheets>
  <externalReferences>
    <externalReference r:id="rId1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2" l="1"/>
  <c r="C9" i="12"/>
  <c r="C11" i="12" s="1"/>
  <c r="N29" i="6"/>
  <c r="N31" i="6"/>
  <c r="N35" i="6"/>
  <c r="M6" i="6"/>
  <c r="M7" i="6"/>
  <c r="M10" i="6"/>
  <c r="M11" i="6"/>
  <c r="M12" i="6"/>
  <c r="M14" i="6"/>
  <c r="M15" i="6"/>
  <c r="M16" i="6"/>
  <c r="M17" i="6"/>
  <c r="M23" i="6"/>
  <c r="M25" i="6"/>
  <c r="M28" i="6"/>
  <c r="M29" i="6"/>
  <c r="M30" i="6"/>
  <c r="M31" i="6"/>
  <c r="M35" i="6"/>
  <c r="L6" i="6"/>
  <c r="L7" i="6"/>
  <c r="L10" i="6"/>
  <c r="L11" i="6"/>
  <c r="L12" i="6"/>
  <c r="L14" i="6"/>
  <c r="L15" i="6"/>
  <c r="L16" i="6"/>
  <c r="L17" i="6"/>
  <c r="L23" i="6"/>
  <c r="L25" i="6"/>
  <c r="L28" i="6"/>
  <c r="L29" i="6"/>
  <c r="L30" i="6"/>
  <c r="L31" i="6"/>
  <c r="L35" i="6"/>
  <c r="K6" i="6"/>
  <c r="K7" i="6"/>
  <c r="K10" i="6"/>
  <c r="K11" i="6"/>
  <c r="K12" i="6"/>
  <c r="K14" i="6"/>
  <c r="K15" i="6"/>
  <c r="K16" i="6"/>
  <c r="K17" i="6"/>
  <c r="K23" i="6"/>
  <c r="K25" i="6"/>
  <c r="K28" i="6"/>
  <c r="K29" i="6"/>
  <c r="K30" i="6"/>
  <c r="K31" i="6"/>
  <c r="K35" i="6"/>
  <c r="J6" i="6"/>
  <c r="J7" i="6"/>
  <c r="J10" i="6"/>
  <c r="J11" i="6"/>
  <c r="J12" i="6"/>
  <c r="J14" i="6"/>
  <c r="J15" i="6"/>
  <c r="J16" i="6"/>
  <c r="J17" i="6"/>
  <c r="J23" i="6"/>
  <c r="J25" i="6"/>
  <c r="J28" i="6"/>
  <c r="J29" i="6"/>
  <c r="J30" i="6"/>
  <c r="J31" i="6"/>
  <c r="J35" i="6"/>
  <c r="I6" i="6"/>
  <c r="I7" i="6"/>
  <c r="I10" i="6"/>
  <c r="I11" i="6"/>
  <c r="I12" i="6"/>
  <c r="I14" i="6"/>
  <c r="I15" i="6"/>
  <c r="I16" i="6"/>
  <c r="I17" i="6"/>
  <c r="I23" i="6"/>
  <c r="I24" i="6"/>
  <c r="I25" i="6"/>
  <c r="I28" i="6"/>
  <c r="I29" i="6"/>
  <c r="I30" i="6"/>
  <c r="I31" i="6"/>
  <c r="I35" i="6"/>
  <c r="H6" i="6"/>
  <c r="H7" i="6"/>
  <c r="H10" i="6"/>
  <c r="H11" i="6"/>
  <c r="H12" i="6"/>
  <c r="H14" i="6"/>
  <c r="H15" i="6"/>
  <c r="H16" i="6"/>
  <c r="H17" i="6"/>
  <c r="H23" i="6"/>
  <c r="H24" i="6"/>
  <c r="H25" i="6"/>
  <c r="H28" i="6"/>
  <c r="H29" i="6"/>
  <c r="H30" i="6"/>
  <c r="H31" i="6"/>
  <c r="H35" i="6"/>
  <c r="G6" i="6"/>
  <c r="G7" i="6"/>
  <c r="G10" i="6"/>
  <c r="G11" i="6"/>
  <c r="G12" i="6"/>
  <c r="G14" i="6"/>
  <c r="G15" i="6"/>
  <c r="G16" i="6"/>
  <c r="G17" i="6"/>
  <c r="G23" i="6"/>
  <c r="G24" i="6"/>
  <c r="G25" i="6"/>
  <c r="G28" i="6"/>
  <c r="G29" i="6"/>
  <c r="G30" i="6"/>
  <c r="G31" i="6"/>
  <c r="G35" i="6"/>
  <c r="F6" i="6"/>
  <c r="F7" i="6"/>
  <c r="F10" i="6"/>
  <c r="F11" i="6"/>
  <c r="F12" i="6"/>
  <c r="F14" i="6"/>
  <c r="F15" i="6"/>
  <c r="F16" i="6"/>
  <c r="F17" i="6"/>
  <c r="F23" i="6"/>
  <c r="F24" i="6"/>
  <c r="F25" i="6"/>
  <c r="F28" i="6"/>
  <c r="F29" i="6"/>
  <c r="F30" i="6"/>
  <c r="F31" i="6"/>
  <c r="F35" i="6"/>
  <c r="E6" i="6"/>
  <c r="E7" i="6"/>
  <c r="E10" i="6"/>
  <c r="E11" i="6"/>
  <c r="E12" i="6"/>
  <c r="E14" i="6"/>
  <c r="E15" i="6"/>
  <c r="E16" i="6"/>
  <c r="E17" i="6"/>
  <c r="E23" i="6"/>
  <c r="E24" i="6"/>
  <c r="E25" i="6"/>
  <c r="E28" i="6"/>
  <c r="E29" i="6"/>
  <c r="E30" i="6"/>
  <c r="E31" i="6"/>
  <c r="E35" i="6"/>
  <c r="D6" i="6"/>
  <c r="D7" i="6"/>
  <c r="D10" i="6"/>
  <c r="D11" i="6"/>
  <c r="D12" i="6"/>
  <c r="D14" i="6"/>
  <c r="D15" i="6"/>
  <c r="D16" i="6"/>
  <c r="D17" i="6"/>
  <c r="D23" i="6"/>
  <c r="D24" i="6"/>
  <c r="D25" i="6"/>
  <c r="D28" i="6"/>
  <c r="D29" i="6"/>
  <c r="D30" i="6"/>
  <c r="D31" i="6"/>
  <c r="D35" i="6"/>
  <c r="C6" i="6"/>
  <c r="C7" i="6"/>
  <c r="C10" i="6"/>
  <c r="C11" i="6"/>
  <c r="C12" i="6"/>
  <c r="C14" i="6"/>
  <c r="C15" i="6"/>
  <c r="C16" i="6"/>
  <c r="C17" i="6"/>
  <c r="C23" i="6"/>
  <c r="C24" i="6"/>
  <c r="C25" i="6"/>
  <c r="C28" i="6"/>
  <c r="C29" i="6"/>
  <c r="C30" i="6"/>
  <c r="C31" i="6"/>
  <c r="C35" i="6"/>
  <c r="B6" i="6"/>
  <c r="B7" i="6"/>
  <c r="B9" i="6"/>
  <c r="B10" i="6"/>
  <c r="B11" i="6"/>
  <c r="B12" i="6"/>
  <c r="B14" i="6"/>
  <c r="B15" i="6"/>
  <c r="B16" i="6"/>
  <c r="B17" i="6"/>
  <c r="B21" i="6"/>
  <c r="B23" i="6"/>
  <c r="B24" i="6"/>
  <c r="B25" i="6"/>
  <c r="B27" i="6"/>
  <c r="B28" i="6"/>
  <c r="B29" i="6"/>
  <c r="B30" i="6"/>
  <c r="B31" i="6"/>
  <c r="B35" i="6"/>
  <c r="N3" i="6"/>
  <c r="N5" i="6"/>
  <c r="M2" i="6"/>
  <c r="M5" i="6"/>
  <c r="L2" i="6"/>
  <c r="L5" i="6"/>
  <c r="K2" i="6"/>
  <c r="K5" i="6"/>
  <c r="J2" i="6"/>
  <c r="J5" i="6"/>
  <c r="I2" i="6"/>
  <c r="I5" i="6"/>
  <c r="H2" i="6"/>
  <c r="H5" i="6"/>
  <c r="G2" i="6"/>
  <c r="G5" i="6"/>
  <c r="F2" i="6"/>
  <c r="F5" i="6"/>
  <c r="E2" i="6"/>
  <c r="E5" i="6"/>
  <c r="D2" i="6"/>
  <c r="D5" i="6"/>
  <c r="C2" i="6"/>
  <c r="C5" i="6"/>
  <c r="B2" i="6"/>
  <c r="B3" i="6"/>
  <c r="B4" i="6"/>
  <c r="B5" i="6"/>
  <c r="N3" i="5"/>
  <c r="N6" i="5"/>
  <c r="B5" i="12"/>
  <c r="B6" i="12"/>
  <c r="C6" i="12"/>
  <c r="N19" i="5"/>
  <c r="N15" i="5"/>
  <c r="N17" i="5"/>
  <c r="M10" i="5"/>
  <c r="M12" i="5"/>
  <c r="M14" i="5"/>
  <c r="M16" i="5"/>
  <c r="M17" i="5"/>
  <c r="M19" i="5"/>
  <c r="L10" i="5"/>
  <c r="L12" i="5"/>
  <c r="L14" i="5"/>
  <c r="L16" i="5"/>
  <c r="L17" i="5"/>
  <c r="L19" i="5"/>
  <c r="K10" i="5"/>
  <c r="K12" i="5"/>
  <c r="K14" i="5"/>
  <c r="K16" i="5"/>
  <c r="K17" i="5"/>
  <c r="K19" i="5"/>
  <c r="J10" i="5"/>
  <c r="J12" i="5"/>
  <c r="J14" i="5"/>
  <c r="J16" i="5"/>
  <c r="J17" i="5"/>
  <c r="J19" i="5"/>
  <c r="I10" i="5"/>
  <c r="I12" i="5"/>
  <c r="I14" i="5"/>
  <c r="I16" i="5"/>
  <c r="I17" i="5"/>
  <c r="I19" i="5"/>
  <c r="H10" i="5"/>
  <c r="H12" i="5"/>
  <c r="H14" i="5"/>
  <c r="H16" i="5"/>
  <c r="H17" i="5"/>
  <c r="H19" i="5"/>
  <c r="G10" i="5"/>
  <c r="G12" i="5"/>
  <c r="G14" i="5"/>
  <c r="G16" i="5"/>
  <c r="G17" i="5"/>
  <c r="G19" i="5"/>
  <c r="F10" i="5"/>
  <c r="F12" i="5"/>
  <c r="F14" i="5"/>
  <c r="F16" i="5"/>
  <c r="F17" i="5"/>
  <c r="F19" i="5"/>
  <c r="E10" i="5"/>
  <c r="E12" i="5"/>
  <c r="E14" i="5"/>
  <c r="E16" i="5"/>
  <c r="E17" i="5"/>
  <c r="E19" i="5"/>
  <c r="D10" i="5"/>
  <c r="D12" i="5"/>
  <c r="D14" i="5"/>
  <c r="D16" i="5"/>
  <c r="D17" i="5"/>
  <c r="D19" i="5"/>
  <c r="C10" i="5"/>
  <c r="C12" i="5"/>
  <c r="C14" i="5"/>
  <c r="C16" i="5"/>
  <c r="C17" i="5"/>
  <c r="C19" i="5"/>
  <c r="B10" i="5"/>
  <c r="B12" i="5"/>
  <c r="B14" i="5"/>
  <c r="B16" i="5"/>
  <c r="B17" i="5"/>
  <c r="B19" i="5"/>
  <c r="M2" i="5"/>
  <c r="M4" i="5"/>
  <c r="M6" i="5"/>
  <c r="L2" i="5"/>
  <c r="L4" i="5"/>
  <c r="L6" i="5"/>
  <c r="K2" i="5"/>
  <c r="K4" i="5"/>
  <c r="K6" i="5"/>
  <c r="J2" i="5"/>
  <c r="J4" i="5"/>
  <c r="J6" i="5"/>
  <c r="I2" i="5"/>
  <c r="I4" i="5"/>
  <c r="I6" i="5"/>
  <c r="H2" i="5"/>
  <c r="H4" i="5"/>
  <c r="H6" i="5"/>
  <c r="G2" i="5"/>
  <c r="G4" i="5"/>
  <c r="G6" i="5"/>
  <c r="F2" i="5"/>
  <c r="F4" i="5"/>
  <c r="F6" i="5"/>
  <c r="E2" i="5"/>
  <c r="E4" i="5"/>
  <c r="E6" i="5"/>
  <c r="D2" i="5"/>
  <c r="D4" i="5"/>
  <c r="D6" i="5"/>
  <c r="C2" i="5"/>
  <c r="C4" i="5"/>
  <c r="C6" i="5"/>
  <c r="B2" i="5"/>
  <c r="B3" i="5"/>
  <c r="B4" i="5"/>
  <c r="B6" i="5"/>
  <c r="N8" i="21"/>
  <c r="N9" i="21" s="1"/>
  <c r="M6" i="21"/>
  <c r="M7" i="21"/>
  <c r="M8" i="21"/>
  <c r="L6" i="21"/>
  <c r="L7" i="21"/>
  <c r="L8" i="21"/>
  <c r="K6" i="21"/>
  <c r="K7" i="21"/>
  <c r="K8" i="21"/>
  <c r="J6" i="21"/>
  <c r="J7" i="21"/>
  <c r="J8" i="21"/>
  <c r="I6" i="21"/>
  <c r="I7" i="21"/>
  <c r="I8" i="21"/>
  <c r="H6" i="21"/>
  <c r="H7" i="21"/>
  <c r="H8" i="21"/>
  <c r="G6" i="21"/>
  <c r="G7" i="21"/>
  <c r="G8" i="21"/>
  <c r="F6" i="21"/>
  <c r="F7" i="21"/>
  <c r="F8" i="21"/>
  <c r="E6" i="21"/>
  <c r="E7" i="21"/>
  <c r="E8" i="21"/>
  <c r="D6" i="21"/>
  <c r="D7" i="21"/>
  <c r="D8" i="21"/>
  <c r="C6" i="21"/>
  <c r="C7" i="21"/>
  <c r="C8" i="21"/>
  <c r="B6" i="21"/>
  <c r="B7" i="21"/>
  <c r="B8" i="21"/>
  <c r="N3" i="21"/>
  <c r="M3" i="21"/>
  <c r="L3" i="21"/>
  <c r="K3" i="21"/>
  <c r="J3" i="21"/>
  <c r="I3" i="21"/>
  <c r="H3" i="21"/>
  <c r="G3" i="21"/>
  <c r="F3" i="21"/>
  <c r="E3" i="21"/>
  <c r="D3" i="21"/>
  <c r="C3" i="21"/>
  <c r="B2" i="21"/>
  <c r="B3" i="21"/>
  <c r="N9" i="1"/>
  <c r="N15" i="1"/>
  <c r="N16" i="1"/>
  <c r="M15" i="1"/>
  <c r="M16" i="1"/>
  <c r="L15" i="1"/>
  <c r="L16" i="1"/>
  <c r="K15" i="1"/>
  <c r="K16" i="1"/>
  <c r="J15" i="1"/>
  <c r="J16" i="1"/>
  <c r="I15" i="1"/>
  <c r="I16" i="1"/>
  <c r="H15" i="1"/>
  <c r="H16" i="1"/>
  <c r="G15" i="1"/>
  <c r="G16" i="1"/>
  <c r="F15" i="1"/>
  <c r="F16" i="1"/>
  <c r="E15" i="1"/>
  <c r="E16" i="1"/>
  <c r="D15" i="1"/>
  <c r="D16" i="1"/>
  <c r="C15" i="1"/>
  <c r="C16" i="1"/>
  <c r="B15" i="1"/>
  <c r="B16" i="1"/>
  <c r="N14" i="1"/>
  <c r="M14" i="1"/>
  <c r="L14" i="1"/>
  <c r="K14" i="1"/>
  <c r="J14" i="1"/>
  <c r="I14" i="1"/>
  <c r="H14" i="1"/>
  <c r="G14" i="1"/>
  <c r="F14" i="1"/>
  <c r="E14" i="1"/>
  <c r="D14" i="1"/>
  <c r="C14" i="1"/>
  <c r="B13" i="1"/>
  <c r="B14" i="1"/>
  <c r="N3" i="1"/>
  <c r="N7" i="1"/>
  <c r="M4" i="1"/>
  <c r="M5" i="1"/>
  <c r="M6" i="1"/>
  <c r="M7" i="1"/>
  <c r="M8" i="1"/>
  <c r="M9" i="1"/>
  <c r="L4" i="1"/>
  <c r="L5" i="1"/>
  <c r="L6" i="1"/>
  <c r="L7" i="1"/>
  <c r="L8" i="1"/>
  <c r="L9" i="1"/>
  <c r="K4" i="1"/>
  <c r="K5" i="1"/>
  <c r="K6" i="1"/>
  <c r="K7" i="1"/>
  <c r="K8" i="1"/>
  <c r="K9" i="1"/>
  <c r="J4" i="1"/>
  <c r="J5" i="1"/>
  <c r="J6" i="1"/>
  <c r="J7" i="1"/>
  <c r="J8" i="1"/>
  <c r="J9" i="1"/>
  <c r="I4" i="1"/>
  <c r="I5" i="1"/>
  <c r="I6" i="1"/>
  <c r="I7" i="1"/>
  <c r="I8" i="1"/>
  <c r="I9" i="1"/>
  <c r="H4" i="1"/>
  <c r="H5" i="1"/>
  <c r="H6" i="1"/>
  <c r="H7" i="1"/>
  <c r="H8" i="1"/>
  <c r="H9" i="1"/>
  <c r="G4" i="1"/>
  <c r="G5" i="1"/>
  <c r="G6" i="1"/>
  <c r="G7" i="1"/>
  <c r="G8" i="1"/>
  <c r="G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  <c r="C4" i="1"/>
  <c r="C5" i="1"/>
  <c r="C6" i="1"/>
  <c r="C7" i="1"/>
  <c r="C8" i="1"/>
  <c r="C9" i="1"/>
  <c r="B4" i="1"/>
  <c r="B5" i="1"/>
  <c r="B6" i="1"/>
  <c r="B7" i="1"/>
  <c r="B8" i="1"/>
  <c r="B9" i="1"/>
  <c r="M3" i="1"/>
  <c r="L3" i="1"/>
  <c r="K3" i="1"/>
  <c r="J3" i="1"/>
  <c r="I3" i="1"/>
  <c r="H3" i="1"/>
  <c r="G3" i="1"/>
  <c r="F3" i="1"/>
  <c r="E3" i="1"/>
  <c r="D3" i="1"/>
  <c r="C3" i="1"/>
  <c r="B2" i="1"/>
  <c r="B3" i="1"/>
  <c r="B4" i="12"/>
  <c r="B2" i="12"/>
  <c r="C2" i="12"/>
  <c r="D2" i="12"/>
  <c r="B3" i="12"/>
  <c r="C3" i="12"/>
  <c r="D3" i="12"/>
  <c r="G23" i="13"/>
  <c r="G25" i="13"/>
  <c r="K31" i="13"/>
  <c r="L31" i="13"/>
  <c r="H31" i="13"/>
  <c r="G31" i="13"/>
  <c r="F31" i="13"/>
  <c r="M32" i="13"/>
  <c r="K32" i="13"/>
  <c r="H32" i="13"/>
  <c r="G32" i="13"/>
  <c r="F32" i="13"/>
  <c r="K26" i="13"/>
  <c r="G26" i="13"/>
  <c r="F26" i="13"/>
  <c r="F25" i="13"/>
  <c r="K17" i="13"/>
  <c r="H25" i="13"/>
  <c r="K24" i="13"/>
  <c r="H24" i="13"/>
  <c r="G24" i="13"/>
  <c r="F24" i="13"/>
  <c r="M31" i="13"/>
  <c r="M25" i="13"/>
  <c r="M26" i="13"/>
  <c r="M24" i="13"/>
  <c r="M23" i="13"/>
  <c r="M22" i="13"/>
  <c r="M17" i="13"/>
  <c r="F23" i="13"/>
  <c r="K22" i="13"/>
  <c r="H22" i="13"/>
  <c r="G22" i="13"/>
  <c r="H23" i="13"/>
  <c r="F22" i="13"/>
  <c r="J41" i="17"/>
  <c r="J39" i="17"/>
  <c r="D34" i="17"/>
  <c r="D36" i="17"/>
  <c r="J33" i="17"/>
  <c r="J34" i="17"/>
  <c r="F8" i="17"/>
  <c r="D11" i="17"/>
  <c r="C4" i="18"/>
  <c r="I31" i="13"/>
  <c r="J31" i="13"/>
  <c r="O31" i="13"/>
  <c r="O33" i="13"/>
  <c r="N31" i="13"/>
  <c r="F17" i="13"/>
  <c r="G17" i="13"/>
  <c r="H17" i="13"/>
  <c r="I17" i="13"/>
  <c r="J17" i="13"/>
  <c r="M11" i="13"/>
  <c r="N11" i="13"/>
  <c r="F11" i="13"/>
  <c r="G11" i="13"/>
  <c r="I11" i="13"/>
  <c r="L11" i="13"/>
  <c r="N12" i="13"/>
  <c r="M23" i="14"/>
  <c r="L23" i="14"/>
  <c r="K23" i="14"/>
  <c r="J23" i="14"/>
  <c r="I23" i="14"/>
  <c r="H23" i="14"/>
  <c r="G23" i="14"/>
  <c r="F23" i="14"/>
  <c r="E23" i="14"/>
  <c r="D23" i="14"/>
  <c r="C23" i="14"/>
  <c r="B23" i="14"/>
  <c r="C22" i="14"/>
  <c r="D22" i="14"/>
  <c r="E22" i="14"/>
  <c r="F22" i="14"/>
  <c r="G22" i="14"/>
  <c r="H22" i="14"/>
  <c r="I22" i="14"/>
  <c r="J22" i="14"/>
  <c r="K22" i="14"/>
  <c r="L22" i="14"/>
  <c r="M22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N17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5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C13" i="14"/>
  <c r="D13" i="14"/>
  <c r="E13" i="14"/>
  <c r="F13" i="14"/>
  <c r="G13" i="14"/>
  <c r="H13" i="14"/>
  <c r="I13" i="14"/>
  <c r="J13" i="14"/>
  <c r="K13" i="14"/>
  <c r="L13" i="14"/>
  <c r="M13" i="14"/>
  <c r="M9" i="14"/>
  <c r="L9" i="14"/>
  <c r="K9" i="14"/>
  <c r="J9" i="14"/>
  <c r="I9" i="14"/>
  <c r="H9" i="14"/>
  <c r="G9" i="14"/>
  <c r="F9" i="14"/>
  <c r="E9" i="14"/>
  <c r="D9" i="14"/>
  <c r="C9" i="14"/>
  <c r="B9" i="14"/>
  <c r="C8" i="14"/>
  <c r="D8" i="14"/>
  <c r="E8" i="14"/>
  <c r="F8" i="14"/>
  <c r="G8" i="14"/>
  <c r="H8" i="14"/>
  <c r="I8" i="14"/>
  <c r="J8" i="14"/>
  <c r="K8" i="14"/>
  <c r="L8" i="14"/>
  <c r="M8" i="14"/>
  <c r="N9" i="14"/>
  <c r="N14" i="14"/>
  <c r="N16" i="14"/>
  <c r="N18" i="14"/>
  <c r="N23" i="14"/>
  <c r="B22" i="14"/>
  <c r="N22" i="14"/>
  <c r="B13" i="14"/>
  <c r="N13" i="14"/>
  <c r="B8" i="14"/>
  <c r="N8" i="14"/>
  <c r="N26" i="14"/>
  <c r="C5" i="14"/>
  <c r="D5" i="14"/>
  <c r="E5" i="14"/>
  <c r="F5" i="14"/>
  <c r="G5" i="14"/>
  <c r="H5" i="14"/>
  <c r="I5" i="14"/>
  <c r="J5" i="14"/>
  <c r="K5" i="14"/>
  <c r="L5" i="14"/>
  <c r="M5" i="14"/>
  <c r="B5" i="14"/>
  <c r="N5" i="14"/>
  <c r="O4" i="13"/>
  <c r="O5" i="13"/>
  <c r="O6" i="13"/>
  <c r="P6" i="13"/>
  <c r="D3" i="15"/>
  <c r="D8" i="15"/>
  <c r="G9" i="16"/>
  <c r="G12" i="16"/>
  <c r="G15" i="16"/>
  <c r="L17" i="13"/>
  <c r="N17" i="13"/>
  <c r="O17" i="13"/>
  <c r="O18" i="13"/>
  <c r="N18" i="13"/>
  <c r="M18" i="13"/>
  <c r="L18" i="13"/>
  <c r="K18" i="13"/>
  <c r="J18" i="13"/>
  <c r="I18" i="13"/>
  <c r="F18" i="13"/>
  <c r="I25" i="13"/>
  <c r="J25" i="13"/>
  <c r="I22" i="13"/>
  <c r="I23" i="13"/>
  <c r="I24" i="13"/>
  <c r="I26" i="13"/>
  <c r="I33" i="13"/>
  <c r="J22" i="13"/>
  <c r="J23" i="13"/>
  <c r="J24" i="13"/>
  <c r="J26" i="13"/>
  <c r="J27" i="13"/>
  <c r="K13" i="13"/>
  <c r="K27" i="13"/>
  <c r="K33" i="13"/>
  <c r="K36" i="13"/>
  <c r="L13" i="13"/>
  <c r="L22" i="13"/>
  <c r="L27" i="13"/>
  <c r="L23" i="13"/>
  <c r="L24" i="13"/>
  <c r="L25" i="13"/>
  <c r="L26" i="13"/>
  <c r="O26" i="13"/>
  <c r="L33" i="13"/>
  <c r="M27" i="13"/>
  <c r="M36" i="13"/>
  <c r="M13" i="13"/>
  <c r="M33" i="13"/>
  <c r="N25" i="13"/>
  <c r="O25" i="13"/>
  <c r="N22" i="13"/>
  <c r="N23" i="13"/>
  <c r="N27" i="13"/>
  <c r="N36" i="13"/>
  <c r="N24" i="13"/>
  <c r="N26" i="13"/>
  <c r="N13" i="13"/>
  <c r="N33" i="13"/>
  <c r="D5" i="15"/>
  <c r="D9" i="15"/>
  <c r="H6" i="15"/>
  <c r="D10" i="17"/>
  <c r="J8" i="17"/>
  <c r="J9" i="17"/>
  <c r="J10" i="17"/>
  <c r="J11" i="17"/>
  <c r="J12" i="17"/>
  <c r="J14" i="17"/>
  <c r="O22" i="13"/>
  <c r="O24" i="13"/>
  <c r="J3" i="13"/>
  <c r="C10" i="18"/>
  <c r="F8" i="16"/>
  <c r="F15" i="16"/>
  <c r="F9" i="16"/>
  <c r="F12" i="16"/>
  <c r="F26" i="16"/>
  <c r="H32" i="16"/>
  <c r="H35" i="16"/>
  <c r="B37" i="16"/>
  <c r="M17" i="16"/>
  <c r="M18" i="16"/>
  <c r="I32" i="13"/>
  <c r="J32" i="13"/>
  <c r="O32" i="13"/>
  <c r="L32" i="13"/>
  <c r="N32" i="13"/>
  <c r="S27" i="13"/>
  <c r="R17" i="13"/>
  <c r="B44" i="16"/>
  <c r="B36" i="16"/>
  <c r="B35" i="16"/>
  <c r="B34" i="16"/>
  <c r="B33" i="16"/>
  <c r="B32" i="16"/>
  <c r="B39" i="16"/>
  <c r="B31" i="16"/>
  <c r="C31" i="16"/>
  <c r="H27" i="13"/>
  <c r="H13" i="13"/>
  <c r="H36" i="13"/>
  <c r="H18" i="13"/>
  <c r="H33" i="13"/>
  <c r="G27" i="13"/>
  <c r="F27" i="13"/>
  <c r="F33" i="13"/>
  <c r="C30" i="14"/>
  <c r="H30" i="14"/>
  <c r="N2" i="13"/>
  <c r="F2" i="17"/>
  <c r="C14" i="17"/>
  <c r="C16" i="17"/>
  <c r="D16" i="17"/>
  <c r="A29" i="17"/>
  <c r="G33" i="13"/>
  <c r="G60" i="17"/>
  <c r="B11" i="15"/>
  <c r="L30" i="14"/>
  <c r="O3" i="2"/>
  <c r="O5" i="2"/>
  <c r="O10" i="2"/>
  <c r="N9" i="2"/>
  <c r="M4" i="2"/>
  <c r="L4" i="2"/>
  <c r="L2" i="2"/>
  <c r="L3" i="2"/>
  <c r="L5" i="2"/>
  <c r="K4" i="2"/>
  <c r="J4" i="2"/>
  <c r="I4" i="2"/>
  <c r="H4" i="2"/>
  <c r="G4" i="2"/>
  <c r="F4" i="2"/>
  <c r="E4" i="2"/>
  <c r="D4" i="2"/>
  <c r="D2" i="2"/>
  <c r="D3" i="2"/>
  <c r="D5" i="2"/>
  <c r="C4" i="2"/>
  <c r="B4" i="2"/>
  <c r="N4" i="2"/>
  <c r="N5" i="2"/>
  <c r="M7" i="2"/>
  <c r="L7" i="2"/>
  <c r="L10" i="2"/>
  <c r="L8" i="2"/>
  <c r="L9" i="2"/>
  <c r="K7" i="2"/>
  <c r="K10" i="2"/>
  <c r="J7" i="2"/>
  <c r="I7" i="2"/>
  <c r="I10" i="2"/>
  <c r="H7" i="2"/>
  <c r="H8" i="2"/>
  <c r="H9" i="2"/>
  <c r="H10" i="2"/>
  <c r="G7" i="2"/>
  <c r="F7" i="2"/>
  <c r="F10" i="2"/>
  <c r="F8" i="2"/>
  <c r="F9" i="2"/>
  <c r="E7" i="2"/>
  <c r="E10" i="2"/>
  <c r="D7" i="2"/>
  <c r="C7" i="2"/>
  <c r="B7" i="2"/>
  <c r="N7" i="2"/>
  <c r="N10" i="2"/>
  <c r="B8" i="2"/>
  <c r="C8" i="2"/>
  <c r="D8" i="2"/>
  <c r="E8" i="2"/>
  <c r="G8" i="2"/>
  <c r="I8" i="2"/>
  <c r="J8" i="2"/>
  <c r="K8" i="2"/>
  <c r="M8" i="2"/>
  <c r="N8" i="2"/>
  <c r="G9" i="2"/>
  <c r="G10" i="2"/>
  <c r="E9" i="2"/>
  <c r="B2" i="2"/>
  <c r="B5" i="2"/>
  <c r="M2" i="2"/>
  <c r="K2" i="2"/>
  <c r="K5" i="2"/>
  <c r="J2" i="2"/>
  <c r="I2" i="2"/>
  <c r="I3" i="2"/>
  <c r="I5" i="2"/>
  <c r="H2" i="2"/>
  <c r="G2" i="2"/>
  <c r="G3" i="2"/>
  <c r="G5" i="2"/>
  <c r="F2" i="2"/>
  <c r="E2" i="2"/>
  <c r="E5" i="2"/>
  <c r="C2" i="2"/>
  <c r="M9" i="2"/>
  <c r="K9" i="2"/>
  <c r="J9" i="2"/>
  <c r="I9" i="2"/>
  <c r="D9" i="2"/>
  <c r="D10" i="2"/>
  <c r="C9" i="2"/>
  <c r="B9" i="2"/>
  <c r="C10" i="2"/>
  <c r="M6" i="2"/>
  <c r="L6" i="2"/>
  <c r="K6" i="2"/>
  <c r="J6" i="2"/>
  <c r="I6" i="2"/>
  <c r="H6" i="2"/>
  <c r="G6" i="2"/>
  <c r="F6" i="2"/>
  <c r="E6" i="2"/>
  <c r="D6" i="2"/>
  <c r="C6" i="2"/>
  <c r="B6" i="2"/>
  <c r="N6" i="2"/>
  <c r="M3" i="2"/>
  <c r="M5" i="2"/>
  <c r="K3" i="2"/>
  <c r="J3" i="2"/>
  <c r="J5" i="2"/>
  <c r="H3" i="2"/>
  <c r="H5" i="2"/>
  <c r="F3" i="2"/>
  <c r="E3" i="2"/>
  <c r="C3" i="2"/>
  <c r="B3" i="2"/>
  <c r="N3" i="2"/>
  <c r="C5" i="2"/>
  <c r="F5" i="2"/>
  <c r="N2" i="2"/>
  <c r="J10" i="2"/>
  <c r="M10" i="2"/>
  <c r="B10" i="2"/>
  <c r="O11" i="2"/>
  <c r="F30" i="14"/>
  <c r="J30" i="14"/>
  <c r="B30" i="14"/>
  <c r="G30" i="14"/>
  <c r="K30" i="14"/>
  <c r="E30" i="14"/>
  <c r="I30" i="14"/>
  <c r="M30" i="14"/>
  <c r="G18" i="13"/>
  <c r="D30" i="14"/>
  <c r="N30" i="14"/>
  <c r="P33" i="13"/>
  <c r="P18" i="13"/>
  <c r="N11" i="2"/>
  <c r="L36" i="13"/>
  <c r="G12" i="13"/>
  <c r="G13" i="13"/>
  <c r="G36" i="13"/>
  <c r="F12" i="13"/>
  <c r="O23" i="13"/>
  <c r="O27" i="13"/>
  <c r="H5" i="15"/>
  <c r="D6" i="15"/>
  <c r="J33" i="13"/>
  <c r="I27" i="13"/>
  <c r="D10" i="15"/>
  <c r="J11" i="13"/>
  <c r="O11" i="13"/>
  <c r="D12" i="17"/>
  <c r="D13" i="17"/>
  <c r="D15" i="17"/>
  <c r="D39" i="17"/>
  <c r="D8" i="17"/>
  <c r="D14" i="17"/>
  <c r="D18" i="17"/>
  <c r="D35" i="17"/>
  <c r="D40" i="17"/>
  <c r="D24" i="17"/>
  <c r="D13" i="15"/>
  <c r="D14" i="15"/>
  <c r="P27" i="13"/>
  <c r="D6" i="12"/>
  <c r="I12" i="13"/>
  <c r="F13" i="13"/>
  <c r="F36" i="13"/>
  <c r="J12" i="13"/>
  <c r="J13" i="13"/>
  <c r="J36" i="13"/>
  <c r="O12" i="13"/>
  <c r="O13" i="13"/>
  <c r="I13" i="13"/>
  <c r="I36" i="13"/>
  <c r="O36" i="13"/>
  <c r="P36" i="13"/>
  <c r="P13" i="13"/>
  <c r="C5" i="12"/>
  <c r="D5" i="12"/>
  <c r="C4" i="12" l="1"/>
  <c r="C7" i="12" l="1"/>
  <c r="D4" i="12"/>
  <c r="D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Carola Johansson</author>
  </authors>
  <commentList>
    <comment ref="B4" authorId="0" shapeId="0" xr:uid="{7C4AE5B6-9F4E-4A42-B2F8-8412C79C5DC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Ökning från 2017, har lagt till ca 10000 kr för valberedningens resor.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Carola Johansson</author>
    <author>Jeanette Ä</author>
  </authors>
  <commentList>
    <comment ref="B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Inger 50 %
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Processtöd 10.000
Rätt stöd 10.000
Date 10.150
Delaktiga barn 10.156
</t>
        </r>
      </text>
    </comment>
    <comment ref="H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Interndeb samordn/koordination</t>
        </r>
      </text>
    </comment>
    <comment ref="I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Interndeb samordn/koordination</t>
        </r>
      </text>
    </comment>
    <comment ref="J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Interndeb samordn/koordination</t>
        </r>
      </text>
    </comment>
    <comment ref="K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Interndeb samordn/koordination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Interndeb samordn/koordination</t>
        </r>
      </text>
    </comment>
    <comment ref="M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Interndeb samordn/koordination</t>
        </r>
      </text>
    </comment>
    <comment ref="B4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8%
</t>
        </r>
      </text>
    </comment>
    <comment ref="C4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D4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E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F4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G4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H4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I4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J4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K4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L4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M4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9%
</t>
        </r>
      </text>
    </comment>
    <comment ref="B7" authorId="1" shapeId="0" xr:uid="{00000000-0006-0000-0200-000015000000}">
      <text>
        <r>
          <rPr>
            <b/>
            <sz val="9"/>
            <color indexed="81"/>
            <rFont val="Tahoma"/>
            <family val="2"/>
          </rPr>
          <t>Jeanette Ä</t>
        </r>
        <r>
          <rPr>
            <sz val="9"/>
            <color indexed="81"/>
            <rFont val="Tahoma"/>
            <family val="2"/>
          </rPr>
          <t xml:space="preserve">
Möteskostnad utslagen från fg år
</t>
        </r>
      </text>
    </comment>
    <comment ref="B9" authorId="1" shapeId="0" xr:uid="{00000000-0006-0000-0200-000016000000}">
      <text>
        <r>
          <rPr>
            <b/>
            <sz val="9"/>
            <color indexed="81"/>
            <rFont val="Tahoma"/>
            <family val="2"/>
          </rPr>
          <t>Jeanette Ä:</t>
        </r>
        <r>
          <rPr>
            <sz val="9"/>
            <color indexed="81"/>
            <rFont val="Tahoma"/>
            <family val="2"/>
          </rPr>
          <t xml:space="preserve">
Inger Persson 15500
Annika 48316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Carola Johansson</author>
  </authors>
  <commentList>
    <comment ref="B2" authorId="0" shapeId="0" xr:uid="{EE345572-469E-4B83-A999-DC908119ECCF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Enl. ansökan 29/9-2016</t>
        </r>
      </text>
    </comment>
    <comment ref="B4" authorId="0" shapeId="0" xr:uid="{A28425E0-EBDE-4AD5-911D-450D2035C45C}">
      <text>
        <r>
          <rPr>
            <b/>
            <sz val="9"/>
            <color indexed="81"/>
            <rFont val="Tahoma"/>
            <family val="2"/>
          </rPr>
          <t xml:space="preserve">Carola Johansson:
</t>
        </r>
        <r>
          <rPr>
            <sz val="9"/>
            <color indexed="81"/>
            <rFont val="Tahoma"/>
            <family val="2"/>
          </rPr>
          <t>Rätt från början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Carola Johansson</author>
    <author>Jeanette Ä</author>
    <author>Mathias Malmlöf</author>
  </authors>
  <commentList>
    <comment ref="B2" authorId="0" shapeId="0" xr:uid="{17417F18-6B49-4366-B435-1CC4D376E5F5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Rätt från början</t>
        </r>
      </text>
    </comment>
    <comment ref="M2" authorId="0" shapeId="0" xr:uid="{1E7BB403-BFA6-4F75-897D-F948BF8AE262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Avser Date Från snack,
Alla vinner</t>
        </r>
      </text>
    </comment>
    <comment ref="B14" authorId="0" shapeId="0" xr:uid="{3C12063D-EF0F-410E-ABFF-1B556CC2AC69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Netrelations 55000 kr/år
Readspeaker AB 7500 kr/år </t>
        </r>
      </text>
    </comment>
    <comment ref="B17" authorId="0" shapeId="0" xr:uid="{4E8926F8-FDB9-46E8-A157-059950EDFC3E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inkl. förbr.material
</t>
        </r>
      </text>
    </comment>
    <comment ref="B20" authorId="1" shapeId="0" xr:uid="{37706C07-5DA7-4B22-A2F9-C157F3B71A2F}">
      <text>
        <r>
          <rPr>
            <sz val="9"/>
            <color indexed="81"/>
            <rFont val="Tahoma"/>
            <family val="2"/>
          </rPr>
          <t xml:space="preserve">Postnord
postleverans
</t>
        </r>
      </text>
    </comment>
    <comment ref="B22" authorId="2" shapeId="0" xr:uid="{81080404-13DC-4EBD-9D5C-5FD53CDE25DF}">
      <text>
        <r>
          <rPr>
            <b/>
            <sz val="9"/>
            <color indexed="81"/>
            <rFont val="Tahoma"/>
            <family val="2"/>
          </rPr>
          <t>Mathias Malmlöf:</t>
        </r>
        <r>
          <rPr>
            <sz val="9"/>
            <color indexed="81"/>
            <rFont val="Tahoma"/>
            <family val="2"/>
          </rPr>
          <t xml:space="preserve">
ber på 60 tkr + moms per år</t>
        </r>
      </text>
    </comment>
    <comment ref="B24" authorId="0" shapeId="0" xr:uid="{B20FB611-0C9E-4FAD-AF80-CDB187A83D3C}">
      <text>
        <r>
          <rPr>
            <b/>
            <sz val="9"/>
            <color indexed="81"/>
            <rFont val="Tahoma"/>
            <family val="2"/>
          </rPr>
          <t>Carola Johansson:</t>
        </r>
        <r>
          <rPr>
            <sz val="9"/>
            <color indexed="81"/>
            <rFont val="Tahoma"/>
            <family val="2"/>
          </rPr>
          <t xml:space="preserve">
inkl. kontokortsavgifter
avgift SWEDBANK och bankgarantin</t>
        </r>
      </text>
    </comment>
    <comment ref="B32" authorId="2" shapeId="0" xr:uid="{4C115282-45D8-4AC8-9CF2-7F1877D07F9C}">
      <text>
        <r>
          <rPr>
            <b/>
            <sz val="9"/>
            <color indexed="81"/>
            <rFont val="Tahoma"/>
            <family val="2"/>
          </rPr>
          <t xml:space="preserve">Mathias Malmlöf:
</t>
        </r>
        <r>
          <rPr>
            <sz val="9"/>
            <color indexed="81"/>
            <rFont val="Tahoma"/>
            <family val="2"/>
          </rPr>
          <t>Kurser 30 000
Kick-off 70 000</t>
        </r>
      </text>
    </comment>
    <comment ref="B33" authorId="2" shapeId="0" xr:uid="{F95F09B5-DE06-4B6E-BC8B-532C983802A0}">
      <text>
        <r>
          <rPr>
            <b/>
            <sz val="9"/>
            <color indexed="81"/>
            <rFont val="Tahoma"/>
            <family val="2"/>
          </rPr>
          <t xml:space="preserve">Mathias Malmlöf:
</t>
        </r>
        <r>
          <rPr>
            <sz val="9"/>
            <color indexed="81"/>
            <rFont val="Tahoma"/>
            <family val="2"/>
          </rPr>
          <t xml:space="preserve">enligt styrelsebeslut
</t>
        </r>
      </text>
    </comment>
  </commentList>
</comments>
</file>

<file path=xl/sharedStrings.xml><?xml version="1.0" encoding="utf-8"?>
<sst xmlns="http://schemas.openxmlformats.org/spreadsheetml/2006/main" count="398" uniqueCount="253">
  <si>
    <t>Intäkter</t>
  </si>
  <si>
    <t>Kostnader</t>
  </si>
  <si>
    <t>Avvikelse</t>
  </si>
  <si>
    <t>101 Styrelsen</t>
  </si>
  <si>
    <t xml:space="preserve">201 Ledning </t>
  </si>
  <si>
    <t>205 Aktiviteter</t>
  </si>
  <si>
    <t xml:space="preserve">206 Intressepolitik </t>
  </si>
  <si>
    <t xml:space="preserve">901 Administration </t>
  </si>
  <si>
    <t>SUMMA TOTALA KOSTNADER</t>
  </si>
  <si>
    <t>SUMMA TOTALA INTÄKTER</t>
  </si>
  <si>
    <t>AVVIKELSE</t>
  </si>
  <si>
    <t>Resultatenhet 101 Styrelsen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</si>
  <si>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</si>
  <si>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</si>
  <si>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</si>
  <si>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</si>
  <si>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</si>
  <si>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</si>
  <si>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</si>
  <si>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</si>
  <si>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</si>
  <si>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</si>
  <si>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</si>
  <si>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</si>
  <si>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Budget 2023</t>
  </si>
  <si>
    <t xml:space="preserve">3412 Medlemsavgifter/statsbidrag </t>
  </si>
  <si>
    <t>SUMMA INTÄKTER</t>
  </si>
  <si>
    <t>5800 Resekostnader</t>
  </si>
  <si>
    <t>prel</t>
  </si>
  <si>
    <t>6080 Möten, gåvor,uppvakt.</t>
  </si>
  <si>
    <t>2018 engångskost Signera mm</t>
  </si>
  <si>
    <t>6990 Övriga kostnader</t>
  </si>
  <si>
    <t>7210 Lön/arvode</t>
  </si>
  <si>
    <t>7216 Resor, lönekostnad</t>
  </si>
  <si>
    <t>SUMMA KOSTNADER</t>
  </si>
  <si>
    <t>Resultatenhet 201 Ledning</t>
  </si>
  <si>
    <t>7010 Löner anställda</t>
  </si>
  <si>
    <t>Budget 2013</t>
  </si>
  <si>
    <t>Utfall 2012</t>
  </si>
  <si>
    <t>3110 Lönebidrag</t>
  </si>
  <si>
    <t>3120 Projektintäkter samordning/koordination</t>
  </si>
  <si>
    <t>3412 Medlemsavgifter/statsbidrag</t>
  </si>
  <si>
    <t>6071 Gåvor</t>
  </si>
  <si>
    <t>6080 Möten o sammanträden</t>
  </si>
  <si>
    <t>6990 Div. övriga kostnader</t>
  </si>
  <si>
    <t>DIFFERENS</t>
  </si>
  <si>
    <t>Resultatenhet 205 Aktiviteter</t>
  </si>
  <si>
    <t xml:space="preserve">3412 Medlemsavgifter/statsbidrag  </t>
  </si>
  <si>
    <t xml:space="preserve">4025 Ordförandemöten </t>
  </si>
  <si>
    <t>4026 Kongress</t>
  </si>
  <si>
    <t>4030 Almedalen</t>
  </si>
  <si>
    <t xml:space="preserve">4033 Funktionshindersdagen </t>
  </si>
  <si>
    <t xml:space="preserve"> </t>
  </si>
  <si>
    <t>Resultatenhet 206 Intressepolitik</t>
  </si>
  <si>
    <t>3016 Konsumentverket</t>
  </si>
  <si>
    <t xml:space="preserve">3120 Intäkter för personaltjänster </t>
  </si>
  <si>
    <t>4040 Arbetsgrupper</t>
  </si>
  <si>
    <t>4046 Webbinarium</t>
  </si>
  <si>
    <t>4047 Respekt för rättigheter</t>
  </si>
  <si>
    <t>4049 Patientföreträdarutbildning</t>
  </si>
  <si>
    <t>5931 Enkät</t>
  </si>
  <si>
    <t>6550 Konsultarvode inkl. webbplats</t>
  </si>
  <si>
    <t>6980 Standardisering</t>
  </si>
  <si>
    <t>7099 Merkostnader projekt</t>
  </si>
  <si>
    <t>Resultatenhet 901 Administration</t>
  </si>
  <si>
    <t>3120 Intäkter för personaltjänster</t>
  </si>
  <si>
    <t>5010 Lokalhyra inkl. larm, säkerhet, sopor</t>
  </si>
  <si>
    <t>5020 El</t>
  </si>
  <si>
    <t xml:space="preserve">5040 Städkostnader </t>
  </si>
  <si>
    <t>5220 Hyra/leasing inventarier</t>
  </si>
  <si>
    <t>5410 Förbrukningsinventarier</t>
  </si>
  <si>
    <t xml:space="preserve">            </t>
  </si>
  <si>
    <t>5510 Reparation och underhåll av kopiatorer</t>
  </si>
  <si>
    <t>5513 Datasupport</t>
  </si>
  <si>
    <t>5514 Drift av webbplats</t>
  </si>
  <si>
    <t>5981 Information/distribution</t>
  </si>
  <si>
    <t>6080 Möten, gåvor, uppvakt.</t>
  </si>
  <si>
    <t>6110 Kontors- och förbr. material</t>
  </si>
  <si>
    <t>6200 Telefon inkl. internet</t>
  </si>
  <si>
    <t>6230 Porto</t>
  </si>
  <si>
    <t>6240 Frakter o transporter</t>
  </si>
  <si>
    <t>6310 Företagsförsäkringar</t>
  </si>
  <si>
    <t>6420 Revisionsarvoden</t>
  </si>
  <si>
    <t>6530 Redovisningsarvode</t>
  </si>
  <si>
    <t>6570 Bankkostnader</t>
  </si>
  <si>
    <t>6970 Tidningar och facklitteratur</t>
  </si>
  <si>
    <t>6982 Medlemsavgifter</t>
  </si>
  <si>
    <t>6983 Serviceavgift KFO</t>
  </si>
  <si>
    <t>7623 Personalvård</t>
  </si>
  <si>
    <t xml:space="preserve">7625 Friskvård </t>
  </si>
  <si>
    <t>7632 Kompetensutveckling</t>
  </si>
  <si>
    <t>7699 Individuell kompetensutveckling</t>
  </si>
  <si>
    <t>7821 Avskrivningar möbler övr.inv.</t>
  </si>
  <si>
    <t>Personalbudget år 2018</t>
  </si>
  <si>
    <t>Januari-december</t>
  </si>
  <si>
    <t>Löner uppräkning 1,6 % fr.om 1/5 + semestertillägg 0,8 % ingår.</t>
  </si>
  <si>
    <t>Inkomstbasbelopp</t>
  </si>
  <si>
    <t>Prel.</t>
  </si>
  <si>
    <t>Statsbidrag</t>
  </si>
  <si>
    <t>Särskild löneskatt på pensionskostnader</t>
  </si>
  <si>
    <t>Medlemsavg</t>
  </si>
  <si>
    <t>Soc.avg.</t>
  </si>
  <si>
    <t>41 förbund</t>
  </si>
  <si>
    <t>KP/TGL beräknas individuellt</t>
  </si>
  <si>
    <t>Jan-April</t>
  </si>
  <si>
    <t>Maj-December</t>
  </si>
  <si>
    <t>Namn</t>
  </si>
  <si>
    <t>Arvode/lön</t>
  </si>
  <si>
    <t>Semestertillägg</t>
  </si>
  <si>
    <t>Årsarvode/lön</t>
  </si>
  <si>
    <t>Pension</t>
  </si>
  <si>
    <t>Sä.lönesk.</t>
  </si>
  <si>
    <t>Rikskup.</t>
  </si>
  <si>
    <t>Soc.avg.riksk.</t>
  </si>
  <si>
    <t>Totalt/år</t>
  </si>
  <si>
    <t>Ordförande , 100 % 13xinkomstbasbelopp</t>
  </si>
  <si>
    <t>Budgeterar med 10,21% sociala avgifter samt ingen pensionsavsättning</t>
  </si>
  <si>
    <t>Ledamöter och förtroendevalda</t>
  </si>
  <si>
    <t>Summa</t>
  </si>
  <si>
    <t>201 Ledning</t>
  </si>
  <si>
    <t>Kanslichef, 100 %</t>
  </si>
  <si>
    <t>NM</t>
  </si>
  <si>
    <t>max avsättning till pension</t>
  </si>
  <si>
    <t>206 Intressepolitik</t>
  </si>
  <si>
    <t>Politisk sakkunnig, 100 %</t>
  </si>
  <si>
    <t>MK</t>
  </si>
  <si>
    <t>pensionsavs beräknad innan lönerevsionens utfall rapporterats</t>
  </si>
  <si>
    <t>Utredare, 100 %</t>
  </si>
  <si>
    <t>RT</t>
  </si>
  <si>
    <t>Estimat pension</t>
  </si>
  <si>
    <t>MA</t>
  </si>
  <si>
    <t>AN</t>
  </si>
  <si>
    <t>Pressekreterare, 100 %</t>
  </si>
  <si>
    <t>MKM</t>
  </si>
  <si>
    <t>901 Administration</t>
  </si>
  <si>
    <t>Administratör, 100 %</t>
  </si>
  <si>
    <t>CL</t>
  </si>
  <si>
    <t>Kommunikatör, 50 %</t>
  </si>
  <si>
    <t>Låg under IP förra året?</t>
  </si>
  <si>
    <t>Total statsbidragsfinansierade</t>
  </si>
  <si>
    <t>styrelse och personal</t>
  </si>
  <si>
    <t/>
  </si>
  <si>
    <t>Arvoden 2018</t>
  </si>
  <si>
    <t>Inkomstbasbelopp:</t>
  </si>
  <si>
    <t>UTBETALNING</t>
  </si>
  <si>
    <t>JAN</t>
  </si>
  <si>
    <t>FEB</t>
  </si>
  <si>
    <t>MARS</t>
  </si>
  <si>
    <t>APRIL</t>
  </si>
  <si>
    <t>MAJ</t>
  </si>
  <si>
    <t>JUNI</t>
  </si>
  <si>
    <t>JULI</t>
  </si>
  <si>
    <t>AUG</t>
  </si>
  <si>
    <t>SEPT</t>
  </si>
  <si>
    <t>OKT</t>
  </si>
  <si>
    <t>NOV</t>
  </si>
  <si>
    <t>DEC</t>
  </si>
  <si>
    <t>SUMMA</t>
  </si>
  <si>
    <t>Ordförande</t>
  </si>
  <si>
    <t>Vice ordf. 2 st</t>
  </si>
  <si>
    <t>6ggr/år</t>
  </si>
  <si>
    <t>?</t>
  </si>
  <si>
    <t>Ledamöter 6 st</t>
  </si>
  <si>
    <t>Maritha Sedvallson</t>
  </si>
  <si>
    <t>Tomas Gustafsson</t>
  </si>
  <si>
    <t>Jan-Olof Forsén</t>
  </si>
  <si>
    <t>Marie Stéen</t>
  </si>
  <si>
    <t>Revisorer 2 st</t>
  </si>
  <si>
    <t>Gisela Petersson</t>
  </si>
  <si>
    <t>Summa styrelse ex ordf.</t>
  </si>
  <si>
    <t>Bruttolön exkl. utlägg</t>
  </si>
  <si>
    <t>ex soc. Avg.</t>
  </si>
  <si>
    <t>hyresg</t>
  </si>
  <si>
    <t>Pris per arbpl</t>
  </si>
  <si>
    <t>Beräknad årshyra Landsvägen 50 A, plan 4</t>
  </si>
  <si>
    <t>569 m2</t>
  </si>
  <si>
    <t>Antal önskade arbpl</t>
  </si>
  <si>
    <t>Nuvarande årshyra</t>
  </si>
  <si>
    <t>Projekten</t>
  </si>
  <si>
    <t>Iktyos</t>
  </si>
  <si>
    <t>rätt fr början</t>
  </si>
  <si>
    <t>Epilepsi</t>
  </si>
  <si>
    <t>FUB</t>
  </si>
  <si>
    <t>Sällsynta</t>
  </si>
  <si>
    <t>Kommer troligtvis in ett par till.</t>
  </si>
  <si>
    <t>RTP</t>
  </si>
  <si>
    <t>Summa förbundsarbpl</t>
  </si>
  <si>
    <t>projekt</t>
  </si>
  <si>
    <t>Funktionsrätt</t>
  </si>
  <si>
    <t>Projekt</t>
  </si>
  <si>
    <t>Handikappförbunden</t>
  </si>
  <si>
    <t>Antal kvm/arbetsplats</t>
  </si>
  <si>
    <t>AMF fakturor</t>
  </si>
  <si>
    <t>*) vi måste kanske betala för en del arbetsplastser i början av året</t>
  </si>
  <si>
    <t>Kostnad enligt avtal</t>
  </si>
  <si>
    <t>År</t>
  </si>
  <si>
    <t>Int. förbund</t>
  </si>
  <si>
    <t>Larm</t>
  </si>
  <si>
    <t>Brand, säkerhet</t>
  </si>
  <si>
    <t>Sopor</t>
  </si>
  <si>
    <t>EL beräkning</t>
  </si>
  <si>
    <t>Projekt (rätt fr.)</t>
  </si>
  <si>
    <t>faktureras /år</t>
  </si>
  <si>
    <t>Preliminär kostnad 2018</t>
  </si>
  <si>
    <t>Vattenfall ca</t>
  </si>
  <si>
    <t>Kostnad</t>
  </si>
  <si>
    <t>Summa faktisk lokalkostnad</t>
  </si>
  <si>
    <t>kto 5220</t>
  </si>
  <si>
    <t>kto 6982</t>
  </si>
  <si>
    <t>Hyra/leasing inventarier</t>
  </si>
  <si>
    <t>De Lage finans</t>
  </si>
  <si>
    <t>kopiatorer</t>
  </si>
  <si>
    <t>Sv. Konsument</t>
  </si>
  <si>
    <t>Kaffeknappen</t>
  </si>
  <si>
    <t>kaffemaskin</t>
  </si>
  <si>
    <t>EDF</t>
  </si>
  <si>
    <t>Neopost</t>
  </si>
  <si>
    <t>frankeringsmaskin</t>
  </si>
  <si>
    <t>Sv. FN</t>
  </si>
  <si>
    <t>Acento finans</t>
  </si>
  <si>
    <t>datorer</t>
  </si>
  <si>
    <t>RFSU</t>
  </si>
  <si>
    <t>Nordea finans</t>
  </si>
  <si>
    <t>Handikapphistoriska före.</t>
  </si>
  <si>
    <t>Extra</t>
  </si>
  <si>
    <t>hjärtstartare</t>
  </si>
  <si>
    <t>Unicum</t>
  </si>
  <si>
    <t>KFO</t>
  </si>
  <si>
    <t>För. Med lagen som verktyg</t>
  </si>
  <si>
    <t>EPF</t>
  </si>
  <si>
    <t>Ideel Arena</t>
  </si>
  <si>
    <t>Kto 5420</t>
  </si>
  <si>
    <t>Microsoft</t>
  </si>
  <si>
    <t>Edge HR</t>
  </si>
  <si>
    <t>(tid. Comea)</t>
  </si>
  <si>
    <t>Posthantering</t>
  </si>
  <si>
    <t>kto 6240</t>
  </si>
  <si>
    <t>Telefon o internet</t>
  </si>
  <si>
    <t>postnord</t>
  </si>
  <si>
    <t>Bahnhof</t>
  </si>
  <si>
    <t>SEF</t>
  </si>
  <si>
    <t>Tele2</t>
  </si>
  <si>
    <t>Vidarefakt.</t>
  </si>
  <si>
    <t>Vi</t>
  </si>
  <si>
    <t>Avskrivningar</t>
  </si>
  <si>
    <t>Pleno AB</t>
  </si>
  <si>
    <t>förbunden</t>
  </si>
  <si>
    <t>summa</t>
  </si>
  <si>
    <t>avrundat</t>
  </si>
  <si>
    <t>Total budget 2023</t>
  </si>
  <si>
    <t>4444 Ordförandeskap EU</t>
  </si>
  <si>
    <t xml:space="preserve"> 3200 Ordförandeskap EU</t>
  </si>
  <si>
    <t>3922 Adm.avgift Fremia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</si>
</sst>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0_ ;\-0\ 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indexed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Franklin Gothic Book"/>
      <family val="2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2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Franklin Gothic Book"/>
      <family val="2"/>
    </font>
    <font>
      <sz val="11"/>
      <color theme="1" tint="4.9989318521683403E-2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0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6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10" fillId="0" borderId="0" xfId="4" applyNumberFormat="1" applyFont="1" applyFill="1" applyBorder="1"/>
    <xf numFmtId="42" fontId="11" fillId="0" borderId="1" xfId="4" applyNumberFormat="1" applyFont="1" applyBorder="1"/>
    <xf numFmtId="42" fontId="11" fillId="0" borderId="1" xfId="0" applyNumberFormat="1" applyFont="1" applyBorder="1"/>
    <xf numFmtId="42" fontId="12" fillId="2" borderId="1" xfId="0" applyNumberFormat="1" applyFont="1" applyFill="1" applyBorder="1"/>
    <xf numFmtId="42" fontId="11" fillId="0" borderId="0" xfId="0" applyNumberFormat="1" applyFont="1"/>
    <xf numFmtId="42" fontId="13" fillId="0" borderId="0" xfId="0" applyNumberFormat="1" applyFont="1"/>
    <xf numFmtId="42" fontId="11" fillId="0" borderId="2" xfId="0" applyNumberFormat="1" applyFont="1" applyBorder="1"/>
    <xf numFmtId="42" fontId="14" fillId="0" borderId="3" xfId="1" applyNumberFormat="1" applyFont="1" applyBorder="1"/>
    <xf numFmtId="42" fontId="14" fillId="0" borderId="1" xfId="1" applyNumberFormat="1" applyFont="1" applyBorder="1" applyAlignment="1">
      <alignment horizontal="left"/>
    </xf>
    <xf numFmtId="42" fontId="14" fillId="0" borderId="4" xfId="1" applyNumberFormat="1" applyFont="1" applyBorder="1"/>
    <xf numFmtId="42" fontId="12" fillId="2" borderId="5" xfId="0" applyNumberFormat="1" applyFont="1" applyFill="1" applyBorder="1"/>
    <xf numFmtId="42" fontId="14" fillId="0" borderId="2" xfId="1" applyNumberFormat="1" applyFont="1" applyBorder="1" applyAlignment="1">
      <alignment horizontal="left"/>
    </xf>
    <xf numFmtId="42" fontId="11" fillId="0" borderId="1" xfId="0" applyNumberFormat="1" applyFont="1" applyBorder="1" applyAlignment="1">
      <alignment horizontal="left"/>
    </xf>
    <xf numFmtId="42" fontId="14" fillId="3" borderId="1" xfId="3" applyNumberFormat="1" applyFont="1" applyFill="1" applyBorder="1" applyAlignment="1">
      <alignment vertical="top"/>
    </xf>
    <xf numFmtId="42" fontId="14" fillId="0" borderId="1" xfId="3" applyNumberFormat="1" applyFont="1" applyBorder="1" applyAlignment="1">
      <alignment vertical="top"/>
    </xf>
    <xf numFmtId="0" fontId="11" fillId="0" borderId="0" xfId="0" applyFont="1"/>
    <xf numFmtId="42" fontId="15" fillId="0" borderId="0" xfId="0" applyNumberFormat="1" applyFont="1"/>
    <xf numFmtId="42" fontId="15" fillId="0" borderId="0" xfId="4" applyNumberFormat="1" applyFont="1" applyBorder="1"/>
    <xf numFmtId="42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4" applyNumberFormat="1" applyFont="1" applyBorder="1"/>
    <xf numFmtId="0" fontId="15" fillId="0" borderId="0" xfId="0" applyFont="1" applyAlignment="1">
      <alignment horizontal="center"/>
    </xf>
    <xf numFmtId="42" fontId="16" fillId="2" borderId="1" xfId="1" applyNumberFormat="1" applyFont="1" applyFill="1" applyBorder="1"/>
    <xf numFmtId="42" fontId="16" fillId="2" borderId="1" xfId="3" applyNumberFormat="1" applyFont="1" applyFill="1" applyBorder="1" applyAlignment="1">
      <alignment vertical="top"/>
    </xf>
    <xf numFmtId="42" fontId="11" fillId="0" borderId="2" xfId="4" applyNumberFormat="1" applyFont="1" applyBorder="1"/>
    <xf numFmtId="42" fontId="12" fillId="2" borderId="1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10" fontId="18" fillId="0" borderId="0" xfId="0" applyNumberFormat="1" applyFont="1"/>
    <xf numFmtId="3" fontId="18" fillId="0" borderId="0" xfId="0" applyNumberFormat="1" applyFont="1"/>
    <xf numFmtId="3" fontId="20" fillId="0" borderId="0" xfId="0" applyNumberFormat="1" applyFont="1"/>
    <xf numFmtId="0" fontId="21" fillId="0" borderId="0" xfId="0" applyFont="1"/>
    <xf numFmtId="164" fontId="20" fillId="0" borderId="1" xfId="0" applyNumberFormat="1" applyFont="1" applyBorder="1"/>
    <xf numFmtId="164" fontId="18" fillId="0" borderId="1" xfId="0" applyNumberFormat="1" applyFont="1" applyBorder="1"/>
    <xf numFmtId="165" fontId="18" fillId="0" borderId="1" xfId="0" applyNumberFormat="1" applyFont="1" applyBorder="1"/>
    <xf numFmtId="3" fontId="18" fillId="0" borderId="1" xfId="0" applyNumberFormat="1" applyFont="1" applyBorder="1"/>
    <xf numFmtId="3" fontId="20" fillId="0" borderId="1" xfId="0" applyNumberFormat="1" applyFont="1" applyBorder="1"/>
    <xf numFmtId="10" fontId="22" fillId="0" borderId="0" xfId="0" applyNumberFormat="1" applyFont="1"/>
    <xf numFmtId="0" fontId="22" fillId="0" borderId="0" xfId="0" applyFont="1"/>
    <xf numFmtId="0" fontId="18" fillId="0" borderId="0" xfId="0" quotePrefix="1" applyFont="1"/>
    <xf numFmtId="3" fontId="0" fillId="0" borderId="0" xfId="0" applyNumberFormat="1"/>
    <xf numFmtId="0" fontId="0" fillId="3" borderId="0" xfId="0" applyFill="1"/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23" fillId="0" borderId="0" xfId="0" applyNumberFormat="1" applyFont="1"/>
    <xf numFmtId="42" fontId="18" fillId="0" borderId="0" xfId="0" applyNumberFormat="1" applyFont="1"/>
    <xf numFmtId="10" fontId="0" fillId="0" borderId="0" xfId="0" applyNumberFormat="1"/>
    <xf numFmtId="0" fontId="24" fillId="0" borderId="0" xfId="0" applyFont="1"/>
    <xf numFmtId="1" fontId="0" fillId="0" borderId="0" xfId="0" applyNumberFormat="1"/>
    <xf numFmtId="9" fontId="18" fillId="0" borderId="1" xfId="0" applyNumberFormat="1" applyFont="1" applyBorder="1"/>
    <xf numFmtId="0" fontId="5" fillId="0" borderId="0" xfId="0" applyFont="1"/>
    <xf numFmtId="3" fontId="18" fillId="0" borderId="6" xfId="0" applyNumberFormat="1" applyFont="1" applyBorder="1"/>
    <xf numFmtId="3" fontId="18" fillId="0" borderId="5" xfId="0" applyNumberFormat="1" applyFont="1" applyBorder="1"/>
    <xf numFmtId="164" fontId="20" fillId="0" borderId="4" xfId="0" applyNumberFormat="1" applyFont="1" applyBorder="1"/>
    <xf numFmtId="3" fontId="18" fillId="0" borderId="2" xfId="0" applyNumberFormat="1" applyFont="1" applyBorder="1"/>
    <xf numFmtId="0" fontId="23" fillId="0" borderId="0" xfId="0" applyFont="1"/>
    <xf numFmtId="3" fontId="24" fillId="0" borderId="0" xfId="0" applyNumberFormat="1" applyFont="1"/>
    <xf numFmtId="9" fontId="0" fillId="0" borderId="0" xfId="0" applyNumberFormat="1"/>
    <xf numFmtId="17" fontId="0" fillId="0" borderId="0" xfId="0" applyNumberFormat="1"/>
    <xf numFmtId="44" fontId="25" fillId="2" borderId="7" xfId="0" applyNumberFormat="1" applyFont="1" applyFill="1" applyBorder="1" applyAlignment="1">
      <alignment horizontal="center"/>
    </xf>
    <xf numFmtId="44" fontId="25" fillId="2" borderId="8" xfId="0" applyNumberFormat="1" applyFont="1" applyFill="1" applyBorder="1" applyAlignment="1">
      <alignment horizontal="center"/>
    </xf>
    <xf numFmtId="44" fontId="26" fillId="0" borderId="0" xfId="0" applyNumberFormat="1" applyFont="1"/>
    <xf numFmtId="42" fontId="26" fillId="0" borderId="1" xfId="4" applyNumberFormat="1" applyFont="1" applyBorder="1" applyAlignment="1"/>
    <xf numFmtId="42" fontId="28" fillId="2" borderId="1" xfId="4" applyNumberFormat="1" applyFont="1" applyFill="1" applyBorder="1" applyAlignment="1"/>
    <xf numFmtId="44" fontId="28" fillId="0" borderId="0" xfId="0" applyNumberFormat="1" applyFont="1"/>
    <xf numFmtId="44" fontId="29" fillId="0" borderId="0" xfId="0" applyNumberFormat="1" applyFont="1"/>
    <xf numFmtId="42" fontId="28" fillId="2" borderId="1" xfId="0" applyNumberFormat="1" applyFont="1" applyFill="1" applyBorder="1" applyAlignment="1">
      <alignment horizontal="center"/>
    </xf>
    <xf numFmtId="0" fontId="25" fillId="2" borderId="1" xfId="1" applyFont="1" applyFill="1" applyBorder="1"/>
    <xf numFmtId="0" fontId="28" fillId="2" borderId="1" xfId="0" applyFont="1" applyFill="1" applyBorder="1" applyAlignment="1">
      <alignment horizontal="center"/>
    </xf>
    <xf numFmtId="0" fontId="26" fillId="0" borderId="0" xfId="0" applyFont="1"/>
    <xf numFmtId="0" fontId="27" fillId="0" borderId="1" xfId="1" applyFont="1" applyBorder="1"/>
    <xf numFmtId="42" fontId="26" fillId="0" borderId="9" xfId="4" applyNumberFormat="1" applyFont="1" applyBorder="1"/>
    <xf numFmtId="42" fontId="26" fillId="0" borderId="2" xfId="4" applyNumberFormat="1" applyFont="1" applyBorder="1"/>
    <xf numFmtId="42" fontId="28" fillId="2" borderId="5" xfId="0" applyNumberFormat="1" applyFont="1" applyFill="1" applyBorder="1" applyAlignment="1">
      <alignment horizontal="center"/>
    </xf>
    <xf numFmtId="42" fontId="25" fillId="2" borderId="1" xfId="4" applyNumberFormat="1" applyFont="1" applyFill="1" applyBorder="1"/>
    <xf numFmtId="42" fontId="26" fillId="0" borderId="1" xfId="4" applyNumberFormat="1" applyFont="1" applyBorder="1"/>
    <xf numFmtId="0" fontId="28" fillId="2" borderId="1" xfId="0" applyFont="1" applyFill="1" applyBorder="1"/>
    <xf numFmtId="42" fontId="28" fillId="2" borderId="1" xfId="4" applyNumberFormat="1" applyFont="1" applyFill="1" applyBorder="1"/>
    <xf numFmtId="0" fontId="29" fillId="0" borderId="0" xfId="0" applyFont="1"/>
    <xf numFmtId="42" fontId="29" fillId="0" borderId="0" xfId="0" applyNumberFormat="1" applyFont="1"/>
    <xf numFmtId="42" fontId="25" fillId="2" borderId="1" xfId="1" applyNumberFormat="1" applyFont="1" applyFill="1" applyBorder="1"/>
    <xf numFmtId="42" fontId="27" fillId="0" borderId="1" xfId="1" applyNumberFormat="1" applyFont="1" applyBorder="1" applyAlignment="1">
      <alignment horizontal="left"/>
    </xf>
    <xf numFmtId="0" fontId="28" fillId="0" borderId="0" xfId="0" applyFont="1"/>
    <xf numFmtId="42" fontId="26" fillId="0" borderId="1" xfId="4" applyNumberFormat="1" applyFont="1" applyBorder="1" applyAlignment="1">
      <alignment horizontal="center"/>
    </xf>
    <xf numFmtId="42" fontId="25" fillId="4" borderId="1" xfId="3" applyNumberFormat="1" applyFont="1" applyFill="1" applyBorder="1" applyAlignment="1">
      <alignment vertical="top"/>
    </xf>
    <xf numFmtId="42" fontId="26" fillId="0" borderId="1" xfId="0" applyNumberFormat="1" applyFont="1" applyBorder="1"/>
    <xf numFmtId="44" fontId="26" fillId="0" borderId="0" xfId="4" applyFont="1" applyBorder="1"/>
    <xf numFmtId="9" fontId="26" fillId="0" borderId="0" xfId="0" applyNumberFormat="1" applyFont="1"/>
    <xf numFmtId="42" fontId="28" fillId="2" borderId="7" xfId="0" applyNumberFormat="1" applyFont="1" applyFill="1" applyBorder="1" applyAlignment="1">
      <alignment horizontal="center"/>
    </xf>
    <xf numFmtId="42" fontId="28" fillId="2" borderId="8" xfId="0" applyNumberFormat="1" applyFont="1" applyFill="1" applyBorder="1" applyAlignment="1">
      <alignment horizontal="center"/>
    </xf>
    <xf numFmtId="42" fontId="28" fillId="2" borderId="1" xfId="0" applyNumberFormat="1" applyFont="1" applyFill="1" applyBorder="1"/>
    <xf numFmtId="42" fontId="28" fillId="2" borderId="11" xfId="4" applyNumberFormat="1" applyFont="1" applyFill="1" applyBorder="1"/>
    <xf numFmtId="42" fontId="28" fillId="2" borderId="12" xfId="4" applyNumberFormat="1" applyFont="1" applyFill="1" applyBorder="1"/>
    <xf numFmtId="42" fontId="26" fillId="0" borderId="0" xfId="0" applyNumberFormat="1" applyFont="1"/>
    <xf numFmtId="0" fontId="30" fillId="0" borderId="0" xfId="0" applyFont="1"/>
    <xf numFmtId="44" fontId="30" fillId="0" borderId="0" xfId="4" applyFont="1" applyBorder="1"/>
    <xf numFmtId="44" fontId="30" fillId="0" borderId="0" xfId="0" applyNumberFormat="1" applyFont="1"/>
    <xf numFmtId="0" fontId="30" fillId="0" borderId="0" xfId="0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25" fillId="2" borderId="1" xfId="0" applyFont="1" applyFill="1" applyBorder="1" applyAlignment="1">
      <alignment horizontal="center"/>
    </xf>
    <xf numFmtId="42" fontId="25" fillId="2" borderId="1" xfId="1" applyNumberFormat="1" applyFont="1" applyFill="1" applyBorder="1" applyAlignment="1">
      <alignment horizontal="left"/>
    </xf>
    <xf numFmtId="0" fontId="31" fillId="2" borderId="1" xfId="0" applyFont="1" applyFill="1" applyBorder="1" applyAlignment="1">
      <alignment horizontal="center"/>
    </xf>
    <xf numFmtId="0" fontId="27" fillId="0" borderId="1" xfId="1" applyFont="1" applyBorder="1" applyAlignment="1">
      <alignment horizontal="left"/>
    </xf>
    <xf numFmtId="0" fontId="25" fillId="2" borderId="1" xfId="1" applyFont="1" applyFill="1" applyBorder="1" applyAlignment="1">
      <alignment horizontal="left"/>
    </xf>
    <xf numFmtId="3" fontId="26" fillId="0" borderId="0" xfId="0" applyNumberFormat="1" applyFont="1"/>
    <xf numFmtId="42" fontId="27" fillId="0" borderId="1" xfId="4" applyNumberFormat="1" applyFont="1" applyFill="1" applyBorder="1"/>
    <xf numFmtId="10" fontId="0" fillId="5" borderId="0" xfId="0" applyNumberFormat="1" applyFill="1"/>
    <xf numFmtId="0" fontId="18" fillId="2" borderId="0" xfId="0" applyFont="1" applyFill="1"/>
    <xf numFmtId="42" fontId="28" fillId="0" borderId="0" xfId="0" applyNumberFormat="1" applyFont="1"/>
    <xf numFmtId="0" fontId="32" fillId="6" borderId="0" xfId="0" applyFont="1" applyFill="1"/>
    <xf numFmtId="0" fontId="19" fillId="6" borderId="0" xfId="0" applyFont="1" applyFill="1"/>
    <xf numFmtId="3" fontId="19" fillId="6" borderId="0" xfId="0" applyNumberFormat="1" applyFont="1" applyFill="1"/>
    <xf numFmtId="3" fontId="32" fillId="6" borderId="0" xfId="0" applyNumberFormat="1" applyFont="1" applyFill="1"/>
    <xf numFmtId="0" fontId="32" fillId="0" borderId="0" xfId="0" applyFont="1"/>
    <xf numFmtId="10" fontId="32" fillId="0" borderId="0" xfId="0" applyNumberFormat="1" applyFont="1"/>
    <xf numFmtId="0" fontId="0" fillId="0" borderId="13" xfId="0" applyBorder="1"/>
    <xf numFmtId="3" fontId="0" fillId="0" borderId="13" xfId="0" applyNumberFormat="1" applyBorder="1"/>
    <xf numFmtId="3" fontId="33" fillId="2" borderId="1" xfId="0" applyNumberFormat="1" applyFont="1" applyFill="1" applyBorder="1"/>
    <xf numFmtId="3" fontId="18" fillId="2" borderId="1" xfId="0" applyNumberFormat="1" applyFont="1" applyFill="1" applyBorder="1"/>
    <xf numFmtId="44" fontId="26" fillId="0" borderId="0" xfId="0" applyNumberFormat="1" applyFont="1" applyAlignment="1">
      <alignment horizontal="left"/>
    </xf>
    <xf numFmtId="42" fontId="26" fillId="0" borderId="1" xfId="4" applyNumberFormat="1" applyFont="1" applyFill="1" applyBorder="1"/>
    <xf numFmtId="42" fontId="26" fillId="0" borderId="1" xfId="4" applyNumberFormat="1" applyFont="1" applyFill="1" applyBorder="1" applyAlignment="1">
      <alignment horizontal="center"/>
    </xf>
    <xf numFmtId="42" fontId="26" fillId="0" borderId="1" xfId="4" applyNumberFormat="1" applyFont="1" applyFill="1" applyBorder="1" applyAlignment="1"/>
    <xf numFmtId="42" fontId="26" fillId="0" borderId="3" xfId="4" applyNumberFormat="1" applyFont="1" applyFill="1" applyBorder="1"/>
    <xf numFmtId="42" fontId="26" fillId="0" borderId="4" xfId="4" applyNumberFormat="1" applyFont="1" applyFill="1" applyBorder="1"/>
    <xf numFmtId="9" fontId="26" fillId="0" borderId="0" xfId="2" applyFont="1"/>
    <xf numFmtId="0" fontId="27" fillId="0" borderId="1" xfId="3" applyFont="1" applyBorder="1" applyAlignment="1">
      <alignment vertical="top"/>
    </xf>
    <xf numFmtId="0" fontId="27" fillId="0" borderId="1" xfId="3" applyFont="1" applyBorder="1" applyAlignment="1">
      <alignment horizontal="left" vertical="top"/>
    </xf>
    <xf numFmtId="42" fontId="26" fillId="0" borderId="2" xfId="0" applyNumberFormat="1" applyFont="1" applyBorder="1"/>
    <xf numFmtId="44" fontId="26" fillId="0" borderId="1" xfId="4" applyFont="1" applyFill="1" applyBorder="1" applyAlignment="1"/>
    <xf numFmtId="44" fontId="27" fillId="0" borderId="1" xfId="3" applyNumberFormat="1" applyFont="1" applyBorder="1"/>
    <xf numFmtId="42" fontId="27" fillId="0" borderId="1" xfId="3" applyNumberFormat="1" applyFont="1" applyBorder="1" applyAlignment="1">
      <alignment vertical="top"/>
    </xf>
    <xf numFmtId="44" fontId="25" fillId="2" borderId="1" xfId="1" applyNumberFormat="1" applyFont="1" applyFill="1" applyBorder="1"/>
    <xf numFmtId="44" fontId="27" fillId="0" borderId="1" xfId="1" applyNumberFormat="1" applyFont="1" applyBorder="1"/>
    <xf numFmtId="44" fontId="28" fillId="2" borderId="1" xfId="0" applyNumberFormat="1" applyFont="1" applyFill="1" applyBorder="1"/>
    <xf numFmtId="44" fontId="27" fillId="0" borderId="4" xfId="1" applyNumberFormat="1" applyFont="1" applyBorder="1"/>
    <xf numFmtId="42" fontId="28" fillId="2" borderId="5" xfId="0" applyNumberFormat="1" applyFont="1" applyFill="1" applyBorder="1"/>
    <xf numFmtId="44" fontId="25" fillId="2" borderId="1" xfId="3" applyNumberFormat="1" applyFont="1" applyFill="1" applyBorder="1"/>
    <xf numFmtId="42" fontId="27" fillId="0" borderId="1" xfId="1" applyNumberFormat="1" applyFont="1" applyBorder="1"/>
    <xf numFmtId="42" fontId="26" fillId="0" borderId="10" xfId="0" applyNumberFormat="1" applyFont="1" applyBorder="1" applyAlignment="1">
      <alignment horizontal="center"/>
    </xf>
    <xf numFmtId="42" fontId="28" fillId="0" borderId="1" xfId="4" applyNumberFormat="1" applyFont="1" applyFill="1" applyBorder="1"/>
    <xf numFmtId="42" fontId="27" fillId="0" borderId="1" xfId="3" applyNumberFormat="1" applyFont="1" applyBorder="1" applyAlignment="1">
      <alignment horizontal="left" vertical="top"/>
    </xf>
  </cellXfs>
  <cellStyles count="6">
    <cellStyle name="Normal" xfId="0" builtinId="0"/>
    <cellStyle name="Normal 2" xfId="1" xr:uid="{00000000-0005-0000-0000-000001000000}"/>
    <cellStyle name="Procent" xfId="2" builtinId="5"/>
    <cellStyle name="Tusental 2" xfId="3" xr:uid="{00000000-0005-0000-0000-000003000000}"/>
    <cellStyle name="Valuta" xfId="4" builtinId="4"/>
    <cellStyle name="Valut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betsbudgetnr%202023%20Ink%20ber&#228;kning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101&amp;201"/>
      <sheetName val="201"/>
      <sheetName val="205"/>
      <sheetName val="206"/>
      <sheetName val="901"/>
      <sheetName val="Personalbudget"/>
      <sheetName val="Personalbudget 2 "/>
      <sheetName val="Styrelsearvode"/>
      <sheetName val="Intäktsberäkning"/>
      <sheetName val="Spec.lokal"/>
      <sheetName val="Spec."/>
      <sheetName val="Spec. städ"/>
      <sheetName val="Anteckning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Q13">
            <v>1442098.5584</v>
          </cell>
        </row>
        <row r="19">
          <cell r="Q19">
            <v>2710937.1314399997</v>
          </cell>
        </row>
        <row r="31">
          <cell r="Q31">
            <v>4619394.0980999991</v>
          </cell>
        </row>
        <row r="37">
          <cell r="Q37">
            <v>486472.60428000009</v>
          </cell>
        </row>
      </sheetData>
      <sheetData sheetId="7" refreshError="1"/>
      <sheetData sheetId="8" refreshError="1"/>
      <sheetData sheetId="9">
        <row r="6">
          <cell r="D6">
            <v>1547099</v>
          </cell>
        </row>
        <row r="7">
          <cell r="D7">
            <v>2710937</v>
          </cell>
        </row>
        <row r="8">
          <cell r="D8">
            <v>300000</v>
          </cell>
        </row>
        <row r="9">
          <cell r="D9">
            <v>4284009.7864711434</v>
          </cell>
        </row>
        <row r="10">
          <cell r="D10">
            <v>2889684.2135288566</v>
          </cell>
        </row>
      </sheetData>
      <sheetData sheetId="10"/>
      <sheetData sheetId="11">
        <row r="15">
          <cell r="G15">
            <v>100400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showGridLines="0" tabSelected="1" zoomScaleNormal="100" workbookViewId="0">
      <selection activeCell="B7" sqref="B7"/>
    </sheetView>
  </sheetViews>
  <sheetFormatPr defaultColWidth="8.84375" defaultRowHeight="15.9" x14ac:dyDescent="0.45"/>
  <cols>
    <col min="1" max="1" width="54.84375" style="78" customWidth="1"/>
    <col min="2" max="3" width="22.53515625" style="78" customWidth="1"/>
    <col min="4" max="4" width="20.53515625" style="78" customWidth="1"/>
    <col min="5" max="5" width="8.84375" style="78"/>
    <col min="6" max="6" width="15.15234375" style="78" bestFit="1" customWidth="1"/>
    <col min="7" max="10" width="8.84375" style="78"/>
    <col min="11" max="11" width="14" style="78" bestFit="1" customWidth="1"/>
    <col min="12" max="16384" width="8.84375" style="78"/>
  </cols>
  <sheetData>
    <row r="1" spans="1:11" x14ac:dyDescent="0.45">
      <c r="A1" s="76" t="s">
        <v>249</v>
      </c>
      <c r="B1" s="108" t="s">
        <v>0</v>
      </c>
      <c r="C1" s="109" t="s">
        <v>1</v>
      </c>
      <c r="D1" s="110" t="s">
        <v>2</v>
      </c>
    </row>
    <row r="2" spans="1:11" x14ac:dyDescent="0.45">
      <c r="A2" s="79" t="s">
        <v>3</v>
      </c>
      <c r="B2" s="94">
        <f>'101&amp;201'!N2</f>
        <v>1547099</v>
      </c>
      <c r="C2" s="90">
        <f>'101&amp;201'!N9</f>
        <v>1547098.5584</v>
      </c>
      <c r="D2" s="94">
        <f>B2-C2</f>
        <v>0.44160000002011657</v>
      </c>
    </row>
    <row r="3" spans="1:11" x14ac:dyDescent="0.45">
      <c r="A3" s="111" t="s">
        <v>4</v>
      </c>
      <c r="B3" s="94">
        <f>'101&amp;201'!N13</f>
        <v>2710937</v>
      </c>
      <c r="C3" s="90">
        <f>'101&amp;201'!N16</f>
        <v>2710937.1314399997</v>
      </c>
      <c r="D3" s="94">
        <f>B3-C3</f>
        <v>-0.13143999967724085</v>
      </c>
    </row>
    <row r="4" spans="1:11" x14ac:dyDescent="0.45">
      <c r="A4" s="111" t="s">
        <v>5</v>
      </c>
      <c r="B4" s="94">
        <f>'205'!N2</f>
        <v>300000</v>
      </c>
      <c r="C4" s="90">
        <f>'205'!N8</f>
        <v>350000</v>
      </c>
      <c r="D4" s="94">
        <f>B4-C4+0.02</f>
        <v>-49999.98</v>
      </c>
    </row>
    <row r="5" spans="1:11" x14ac:dyDescent="0.45">
      <c r="A5" s="111" t="s">
        <v>6</v>
      </c>
      <c r="B5" s="94">
        <f>'206'!N6</f>
        <v>5034009.7864711434</v>
      </c>
      <c r="C5" s="90">
        <f>'206'!N19</f>
        <v>5377794.0980999991</v>
      </c>
      <c r="D5" s="94">
        <f>B5-C5</f>
        <v>-343784.31162885576</v>
      </c>
    </row>
    <row r="6" spans="1:11" x14ac:dyDescent="0.45">
      <c r="A6" s="111" t="s">
        <v>7</v>
      </c>
      <c r="B6" s="94">
        <f>'901'!N5</f>
        <v>2969048.2135288566</v>
      </c>
      <c r="C6" s="90">
        <f>'901'!N35</f>
        <v>3627472.2709466666</v>
      </c>
      <c r="D6" s="94">
        <f>B6-C6</f>
        <v>-658424.05741780996</v>
      </c>
    </row>
    <row r="7" spans="1:11" x14ac:dyDescent="0.45">
      <c r="A7" s="112" t="s">
        <v>8</v>
      </c>
      <c r="B7" s="99">
        <f>SUM(B2:B6)</f>
        <v>12561094</v>
      </c>
      <c r="C7" s="109">
        <f>SUM(C2:C6)</f>
        <v>13613302.058886666</v>
      </c>
      <c r="D7" s="99">
        <f>SUM(D2:D6)+1</f>
        <v>-1052207.0388866654</v>
      </c>
    </row>
    <row r="8" spans="1:11" x14ac:dyDescent="0.45">
      <c r="B8" s="102"/>
    </row>
    <row r="9" spans="1:11" x14ac:dyDescent="0.45">
      <c r="A9" s="85" t="s">
        <v>9</v>
      </c>
      <c r="B9" s="85"/>
      <c r="C9" s="99">
        <f>B7</f>
        <v>12561094</v>
      </c>
      <c r="D9" s="102"/>
      <c r="K9" s="102"/>
    </row>
    <row r="10" spans="1:11" x14ac:dyDescent="0.45">
      <c r="D10" s="102"/>
    </row>
    <row r="11" spans="1:11" x14ac:dyDescent="0.45">
      <c r="A11" s="85" t="s">
        <v>10</v>
      </c>
      <c r="B11" s="85"/>
      <c r="C11" s="99">
        <f>C9-C7</f>
        <v>-1052208.0588866659</v>
      </c>
    </row>
    <row r="13" spans="1:11" x14ac:dyDescent="0.45">
      <c r="B13" s="102"/>
    </row>
    <row r="14" spans="1:11" x14ac:dyDescent="0.45">
      <c r="C14" s="113"/>
    </row>
    <row r="15" spans="1:11" x14ac:dyDescent="0.45">
      <c r="B15" s="134"/>
      <c r="C15" s="113"/>
    </row>
    <row r="16" spans="1:11" x14ac:dyDescent="0.45">
      <c r="B16" s="134"/>
      <c r="C16" s="113"/>
    </row>
    <row r="17" spans="2:2" x14ac:dyDescent="0.45">
      <c r="B17" s="134"/>
    </row>
    <row r="18" spans="2:2" x14ac:dyDescent="0.45">
      <c r="B18" s="134"/>
    </row>
    <row r="19" spans="2:2" x14ac:dyDescent="0.45">
      <c r="B19" s="1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7 D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0"/>
  <sheetViews>
    <sheetView topLeftCell="A2" workbookViewId="0">
      <selection activeCell="H21" sqref="H21"/>
    </sheetView>
  </sheetViews>
  <sheetFormatPr defaultRowHeight="14.6" x14ac:dyDescent="0.4"/>
  <cols>
    <col min="4" max="4" width="9.53515625" bestFit="1" customWidth="1"/>
    <col min="7" max="7" width="9.3828125" customWidth="1"/>
    <col min="9" max="9" width="13.3828125" customWidth="1"/>
  </cols>
  <sheetData>
    <row r="1" spans="1:17" ht="18.45" x14ac:dyDescent="0.5">
      <c r="A1" s="3"/>
      <c r="K1" t="s">
        <v>172</v>
      </c>
    </row>
    <row r="2" spans="1:17" x14ac:dyDescent="0.4">
      <c r="D2" t="s">
        <v>173</v>
      </c>
      <c r="F2">
        <f>G28/35</f>
        <v>57960</v>
      </c>
      <c r="H2">
        <v>53500</v>
      </c>
      <c r="K2">
        <v>28</v>
      </c>
    </row>
    <row r="4" spans="1:17" x14ac:dyDescent="0.4">
      <c r="A4" t="s">
        <v>174</v>
      </c>
    </row>
    <row r="5" spans="1:17" x14ac:dyDescent="0.4">
      <c r="A5" t="s">
        <v>175</v>
      </c>
    </row>
    <row r="6" spans="1:17" x14ac:dyDescent="0.4">
      <c r="C6" t="s">
        <v>176</v>
      </c>
      <c r="J6" t="s">
        <v>177</v>
      </c>
      <c r="N6" t="s">
        <v>178</v>
      </c>
    </row>
    <row r="8" spans="1:17" x14ac:dyDescent="0.4">
      <c r="A8" t="s">
        <v>179</v>
      </c>
      <c r="C8">
        <v>1</v>
      </c>
      <c r="D8" s="47">
        <f>$F$8</f>
        <v>55900</v>
      </c>
      <c r="E8" s="47"/>
      <c r="F8" s="47">
        <f>53500+2400</f>
        <v>55900</v>
      </c>
      <c r="G8" s="47"/>
      <c r="H8" s="47"/>
      <c r="I8" s="47"/>
      <c r="J8" s="47">
        <f>9682*4</f>
        <v>38728</v>
      </c>
      <c r="K8" s="47"/>
      <c r="M8" s="47"/>
      <c r="N8" t="s">
        <v>180</v>
      </c>
      <c r="Q8">
        <v>3</v>
      </c>
    </row>
    <row r="9" spans="1:17" x14ac:dyDescent="0.4">
      <c r="D9" s="47"/>
      <c r="E9" s="47"/>
      <c r="F9" s="47"/>
      <c r="G9" s="47"/>
      <c r="H9" s="47"/>
      <c r="I9" s="47"/>
      <c r="J9" s="47">
        <f>34073*4</f>
        <v>136292</v>
      </c>
      <c r="K9" s="47"/>
      <c r="M9" s="47"/>
    </row>
    <row r="10" spans="1:17" x14ac:dyDescent="0.4">
      <c r="A10" t="s">
        <v>181</v>
      </c>
      <c r="C10">
        <v>3</v>
      </c>
      <c r="D10" s="47">
        <f>53500*3</f>
        <v>160500</v>
      </c>
      <c r="E10" s="47"/>
      <c r="F10" s="47"/>
      <c r="G10" s="47"/>
      <c r="H10" s="47"/>
      <c r="I10" s="47"/>
      <c r="J10" s="47">
        <f>40584*4</f>
        <v>162336</v>
      </c>
      <c r="K10" s="47"/>
      <c r="M10" s="47"/>
    </row>
    <row r="11" spans="1:17" x14ac:dyDescent="0.4">
      <c r="A11" t="s">
        <v>182</v>
      </c>
      <c r="C11">
        <v>2</v>
      </c>
      <c r="D11" s="47">
        <f>$F$8*C11</f>
        <v>111800</v>
      </c>
      <c r="E11" s="47"/>
      <c r="F11" s="47"/>
      <c r="G11" s="47"/>
      <c r="H11" s="47"/>
      <c r="I11" s="47"/>
      <c r="J11" s="47">
        <f>23462*4</f>
        <v>93848</v>
      </c>
      <c r="K11" s="47"/>
      <c r="M11" s="47"/>
    </row>
    <row r="12" spans="1:17" x14ac:dyDescent="0.4">
      <c r="A12" t="s">
        <v>183</v>
      </c>
      <c r="C12">
        <v>4</v>
      </c>
      <c r="D12" s="47">
        <f>$F$8*C12</f>
        <v>223600</v>
      </c>
      <c r="E12" s="47"/>
      <c r="F12" s="49" t="s">
        <v>184</v>
      </c>
      <c r="G12" s="47"/>
      <c r="H12" s="47"/>
      <c r="I12" s="47"/>
      <c r="J12" s="47">
        <f>29580*4</f>
        <v>118320</v>
      </c>
      <c r="K12" s="47"/>
      <c r="M12" s="47"/>
    </row>
    <row r="13" spans="1:17" x14ac:dyDescent="0.4">
      <c r="A13" t="s">
        <v>185</v>
      </c>
      <c r="C13">
        <v>9</v>
      </c>
      <c r="D13" s="47">
        <f>$F$8*C13</f>
        <v>503100</v>
      </c>
      <c r="E13" s="47"/>
      <c r="F13" s="47"/>
      <c r="G13" s="47"/>
      <c r="H13" s="47"/>
      <c r="I13" s="47"/>
      <c r="J13" s="47">
        <v>0</v>
      </c>
      <c r="K13" s="47"/>
      <c r="M13" s="47"/>
    </row>
    <row r="14" spans="1:17" x14ac:dyDescent="0.4">
      <c r="A14" s="124" t="s">
        <v>186</v>
      </c>
      <c r="B14" s="124"/>
      <c r="C14" s="124">
        <f>SUM(C8:C13)</f>
        <v>19</v>
      </c>
      <c r="D14" s="125">
        <f>SUM(D8:D13)</f>
        <v>1054900</v>
      </c>
      <c r="E14" s="47"/>
      <c r="F14" s="47"/>
      <c r="G14" s="47"/>
      <c r="H14" s="47"/>
      <c r="I14" s="47"/>
      <c r="J14" s="47">
        <f>SUM(J8:J12)</f>
        <v>549524</v>
      </c>
      <c r="K14" s="47"/>
    </row>
    <row r="15" spans="1:17" x14ac:dyDescent="0.4">
      <c r="A15" t="s">
        <v>187</v>
      </c>
      <c r="C15">
        <v>3</v>
      </c>
      <c r="D15" s="47">
        <f>$F$8*C15</f>
        <v>167700</v>
      </c>
      <c r="E15" s="47"/>
      <c r="F15" s="47"/>
      <c r="G15" s="47"/>
      <c r="H15" s="47"/>
      <c r="I15" s="47"/>
      <c r="J15" s="47"/>
      <c r="K15" s="47"/>
    </row>
    <row r="16" spans="1:17" x14ac:dyDescent="0.4">
      <c r="A16" t="s">
        <v>188</v>
      </c>
      <c r="C16">
        <f>35-C14-C15</f>
        <v>13</v>
      </c>
      <c r="D16" s="47">
        <f>C16*53500</f>
        <v>695500</v>
      </c>
      <c r="E16" s="47"/>
      <c r="F16" s="47"/>
      <c r="G16" s="47"/>
      <c r="H16" s="47"/>
      <c r="I16" s="47"/>
      <c r="J16" s="47"/>
      <c r="K16" s="47"/>
    </row>
    <row r="17" spans="1:11" x14ac:dyDescent="0.4">
      <c r="E17" s="47"/>
      <c r="F17" s="47"/>
      <c r="G17" s="47"/>
      <c r="H17" s="47"/>
      <c r="I17" s="47"/>
      <c r="J17" s="47"/>
      <c r="K17" s="47"/>
    </row>
    <row r="18" spans="1:11" x14ac:dyDescent="0.4">
      <c r="D18" s="47">
        <f>SUM(D14:D16)</f>
        <v>1918100</v>
      </c>
      <c r="E18" s="47"/>
      <c r="F18" s="47"/>
      <c r="G18" s="47"/>
      <c r="H18" s="47"/>
      <c r="I18" s="47"/>
      <c r="J18" s="47"/>
      <c r="K18" s="47"/>
    </row>
    <row r="19" spans="1:11" x14ac:dyDescent="0.4">
      <c r="D19" s="47"/>
      <c r="E19" s="47"/>
      <c r="F19" s="47"/>
      <c r="G19" s="47"/>
      <c r="H19" s="47"/>
      <c r="I19" s="47"/>
      <c r="J19" s="47"/>
      <c r="K19" s="47"/>
    </row>
    <row r="20" spans="1:11" x14ac:dyDescent="0.4">
      <c r="A20" t="s">
        <v>189</v>
      </c>
      <c r="D20" s="47"/>
      <c r="E20" s="47"/>
      <c r="F20" s="47"/>
      <c r="G20" s="47"/>
      <c r="H20" s="47"/>
      <c r="I20" s="47"/>
      <c r="J20" s="47"/>
      <c r="K20" s="47"/>
    </row>
    <row r="21" spans="1:11" x14ac:dyDescent="0.4">
      <c r="D21" s="47"/>
      <c r="E21" s="47"/>
      <c r="F21" s="47"/>
      <c r="G21" s="47"/>
      <c r="H21" s="47"/>
      <c r="I21" s="47"/>
      <c r="J21" s="47"/>
      <c r="K21" s="47"/>
    </row>
    <row r="22" spans="1:11" x14ac:dyDescent="0.4">
      <c r="D22" s="47"/>
      <c r="E22" s="47"/>
      <c r="F22" s="47"/>
      <c r="G22" s="47"/>
      <c r="H22" s="47"/>
      <c r="I22" s="47"/>
      <c r="J22" s="47"/>
      <c r="K22" s="47"/>
    </row>
    <row r="23" spans="1:11" x14ac:dyDescent="0.4">
      <c r="D23" s="47"/>
      <c r="E23" s="47"/>
      <c r="F23" s="47"/>
      <c r="G23" s="47"/>
      <c r="H23" s="47"/>
      <c r="I23" s="47"/>
      <c r="J23" s="47"/>
      <c r="K23" s="47"/>
    </row>
    <row r="24" spans="1:11" x14ac:dyDescent="0.4">
      <c r="A24" t="s">
        <v>190</v>
      </c>
      <c r="D24" s="47">
        <f>(G28-D14)+D13</f>
        <v>1476800</v>
      </c>
      <c r="E24" s="47"/>
      <c r="F24" s="47"/>
      <c r="G24" s="47"/>
      <c r="H24" s="47"/>
      <c r="I24" s="47"/>
      <c r="J24" s="47"/>
      <c r="K24" s="47"/>
    </row>
    <row r="25" spans="1:11" x14ac:dyDescent="0.4">
      <c r="A25" t="s">
        <v>189</v>
      </c>
      <c r="D25" s="47"/>
      <c r="E25" s="47"/>
      <c r="F25" s="47"/>
      <c r="G25" s="47"/>
      <c r="H25" s="47"/>
      <c r="I25" s="47"/>
      <c r="J25" s="47"/>
      <c r="K25" s="47"/>
    </row>
    <row r="26" spans="1:11" x14ac:dyDescent="0.4">
      <c r="D26" s="47"/>
      <c r="E26" s="47"/>
      <c r="F26" s="47"/>
      <c r="G26" s="47"/>
      <c r="H26" s="47"/>
      <c r="I26" s="47"/>
      <c r="J26" s="47"/>
      <c r="K26" s="47"/>
    </row>
    <row r="27" spans="1:11" x14ac:dyDescent="0.4">
      <c r="D27" s="47"/>
      <c r="E27" s="47"/>
      <c r="F27" s="47"/>
      <c r="G27" s="47"/>
      <c r="H27" s="47"/>
      <c r="I27" s="47"/>
      <c r="J27" s="47"/>
      <c r="K27" s="47"/>
    </row>
    <row r="28" spans="1:11" x14ac:dyDescent="0.4">
      <c r="A28" t="s">
        <v>191</v>
      </c>
      <c r="D28" s="47"/>
      <c r="E28" s="47"/>
      <c r="F28" s="47"/>
      <c r="G28" s="47">
        <v>2028600</v>
      </c>
      <c r="H28" s="47"/>
      <c r="I28" s="47"/>
      <c r="J28" s="47"/>
      <c r="K28" s="47"/>
    </row>
    <row r="29" spans="1:11" x14ac:dyDescent="0.4">
      <c r="A29">
        <f>569/36</f>
        <v>15.805555555555555</v>
      </c>
      <c r="D29" s="47"/>
      <c r="E29" s="47"/>
      <c r="F29" s="47"/>
      <c r="G29" s="47"/>
      <c r="H29" s="47"/>
      <c r="I29" s="49" t="s">
        <v>192</v>
      </c>
      <c r="J29" s="47"/>
      <c r="K29" s="47"/>
    </row>
    <row r="30" spans="1:11" x14ac:dyDescent="0.4">
      <c r="I30">
        <v>1</v>
      </c>
      <c r="J30" s="47">
        <v>488829</v>
      </c>
    </row>
    <row r="31" spans="1:11" x14ac:dyDescent="0.4">
      <c r="A31" t="s">
        <v>193</v>
      </c>
      <c r="I31">
        <v>2</v>
      </c>
      <c r="J31" s="47">
        <v>9511</v>
      </c>
    </row>
    <row r="32" spans="1:11" x14ac:dyDescent="0.4">
      <c r="I32">
        <v>3</v>
      </c>
      <c r="J32" s="47">
        <v>14663</v>
      </c>
    </row>
    <row r="33" spans="1:10" x14ac:dyDescent="0.4">
      <c r="J33" s="47">
        <f>SUM(J30:J32)</f>
        <v>513003</v>
      </c>
    </row>
    <row r="34" spans="1:10" x14ac:dyDescent="0.4">
      <c r="A34" t="s">
        <v>194</v>
      </c>
      <c r="D34">
        <f>J30*4</f>
        <v>1955316</v>
      </c>
      <c r="I34" t="s">
        <v>195</v>
      </c>
      <c r="J34" s="47">
        <f>J33*4</f>
        <v>2052012</v>
      </c>
    </row>
    <row r="35" spans="1:10" x14ac:dyDescent="0.4">
      <c r="A35" t="s">
        <v>196</v>
      </c>
      <c r="D35" s="47">
        <f>D14*-1</f>
        <v>-1054900</v>
      </c>
      <c r="J35" s="47"/>
    </row>
    <row r="36" spans="1:10" x14ac:dyDescent="0.4">
      <c r="A36" t="s">
        <v>197</v>
      </c>
      <c r="D36">
        <f>15000-(144*22)</f>
        <v>11832</v>
      </c>
    </row>
    <row r="37" spans="1:10" x14ac:dyDescent="0.4">
      <c r="A37" t="s">
        <v>198</v>
      </c>
      <c r="D37">
        <v>30000</v>
      </c>
    </row>
    <row r="38" spans="1:10" x14ac:dyDescent="0.4">
      <c r="A38" t="s">
        <v>199</v>
      </c>
      <c r="D38">
        <v>5000</v>
      </c>
      <c r="I38" s="51" t="s">
        <v>200</v>
      </c>
    </row>
    <row r="39" spans="1:10" x14ac:dyDescent="0.4">
      <c r="A39" t="s">
        <v>201</v>
      </c>
      <c r="D39">
        <f>D15*-1</f>
        <v>-167700</v>
      </c>
      <c r="I39" t="s">
        <v>202</v>
      </c>
      <c r="J39">
        <f>22*1800</f>
        <v>39600</v>
      </c>
    </row>
    <row r="40" spans="1:10" x14ac:dyDescent="0.4">
      <c r="A40" t="s">
        <v>203</v>
      </c>
      <c r="D40" s="47">
        <f>SUM(D34:D39)</f>
        <v>779548</v>
      </c>
      <c r="E40" s="51"/>
      <c r="I40" t="s">
        <v>204</v>
      </c>
      <c r="J40">
        <v>60000</v>
      </c>
    </row>
    <row r="41" spans="1:10" x14ac:dyDescent="0.4">
      <c r="I41" t="s">
        <v>205</v>
      </c>
      <c r="J41">
        <f>J40-J39</f>
        <v>20400</v>
      </c>
    </row>
    <row r="42" spans="1:10" ht="18.45" x14ac:dyDescent="0.5">
      <c r="A42" s="3"/>
      <c r="D42">
        <v>780000</v>
      </c>
    </row>
    <row r="52" spans="2:7" x14ac:dyDescent="0.4">
      <c r="B52" s="64"/>
      <c r="C52" s="56"/>
      <c r="D52" s="56"/>
      <c r="E52" s="56"/>
      <c r="F52" s="56"/>
      <c r="G52" s="53"/>
    </row>
    <row r="53" spans="2:7" x14ac:dyDescent="0.4">
      <c r="B53" s="64"/>
      <c r="C53" s="56"/>
      <c r="D53" s="56"/>
      <c r="E53" s="56"/>
      <c r="F53" s="56"/>
      <c r="G53" s="53"/>
    </row>
    <row r="54" spans="2:7" x14ac:dyDescent="0.4">
      <c r="B54" s="64"/>
      <c r="C54" s="56"/>
      <c r="D54" s="56"/>
      <c r="E54" s="56"/>
      <c r="F54" s="56"/>
      <c r="G54" s="53"/>
    </row>
    <row r="55" spans="2:7" x14ac:dyDescent="0.4">
      <c r="B55" s="56"/>
      <c r="C55" s="56"/>
      <c r="D55" s="56"/>
      <c r="E55" s="56"/>
      <c r="F55" s="56"/>
      <c r="G55" s="65"/>
    </row>
    <row r="56" spans="2:7" x14ac:dyDescent="0.4">
      <c r="B56" s="64"/>
      <c r="C56" s="64"/>
      <c r="D56" s="64"/>
      <c r="E56" s="64"/>
      <c r="F56" s="64"/>
      <c r="G56" s="53"/>
    </row>
    <row r="57" spans="2:7" x14ac:dyDescent="0.4">
      <c r="B57" s="56"/>
      <c r="C57" s="56"/>
      <c r="D57" s="56"/>
      <c r="E57" s="56"/>
      <c r="F57" s="56"/>
      <c r="G57" s="65"/>
    </row>
    <row r="58" spans="2:7" x14ac:dyDescent="0.4">
      <c r="B58" s="64"/>
      <c r="C58" s="64"/>
      <c r="D58" s="64"/>
      <c r="E58" s="64"/>
      <c r="F58" s="64"/>
      <c r="G58" s="53"/>
    </row>
    <row r="59" spans="2:7" x14ac:dyDescent="0.4">
      <c r="B59" s="56"/>
      <c r="C59" s="56"/>
      <c r="D59" s="56"/>
      <c r="E59" s="56"/>
      <c r="F59" s="56"/>
      <c r="G59" s="65"/>
    </row>
    <row r="60" spans="2:7" x14ac:dyDescent="0.4">
      <c r="B60" s="64" t="s">
        <v>206</v>
      </c>
      <c r="C60" s="64"/>
      <c r="D60" s="64"/>
      <c r="E60" s="64"/>
      <c r="F60" s="64"/>
      <c r="G60" s="53">
        <f>G52+G54-G56-G58</f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44"/>
  <sheetViews>
    <sheetView topLeftCell="A4" workbookViewId="0">
      <selection activeCell="D37" sqref="D37"/>
    </sheetView>
  </sheetViews>
  <sheetFormatPr defaultRowHeight="14.6" x14ac:dyDescent="0.4"/>
  <cols>
    <col min="2" max="2" width="10.69140625" customWidth="1"/>
  </cols>
  <sheetData>
    <row r="2" spans="1:13" x14ac:dyDescent="0.4">
      <c r="A2" t="s">
        <v>207</v>
      </c>
    </row>
    <row r="3" spans="1:13" x14ac:dyDescent="0.4">
      <c r="F3">
        <v>2018</v>
      </c>
      <c r="J3" t="s">
        <v>208</v>
      </c>
    </row>
    <row r="4" spans="1:13" x14ac:dyDescent="0.4">
      <c r="A4" t="s">
        <v>209</v>
      </c>
      <c r="F4" s="47"/>
      <c r="G4" s="47"/>
      <c r="H4" s="47"/>
      <c r="I4" s="47"/>
      <c r="J4" s="47"/>
    </row>
    <row r="5" spans="1:13" x14ac:dyDescent="0.4">
      <c r="F5" s="47"/>
      <c r="G5" s="47"/>
      <c r="H5" s="57"/>
      <c r="I5" s="47"/>
      <c r="J5" s="47"/>
    </row>
    <row r="6" spans="1:13" x14ac:dyDescent="0.4">
      <c r="F6" s="47"/>
      <c r="G6" s="47"/>
      <c r="H6" s="57"/>
      <c r="I6" s="47"/>
      <c r="J6" s="47"/>
    </row>
    <row r="7" spans="1:13" x14ac:dyDescent="0.4">
      <c r="E7" s="47"/>
      <c r="F7" s="57">
        <v>2018</v>
      </c>
      <c r="G7" s="57">
        <v>2019</v>
      </c>
      <c r="H7" s="47"/>
      <c r="I7" s="47"/>
      <c r="J7" s="47"/>
    </row>
    <row r="8" spans="1:13" x14ac:dyDescent="0.4">
      <c r="A8" t="s">
        <v>210</v>
      </c>
      <c r="C8" t="s">
        <v>211</v>
      </c>
      <c r="E8" s="47"/>
      <c r="F8" s="47">
        <f>5500*4</f>
        <v>22000</v>
      </c>
      <c r="G8" s="47">
        <v>28000</v>
      </c>
      <c r="H8" s="47"/>
      <c r="I8" s="47"/>
      <c r="J8" s="47" t="s">
        <v>212</v>
      </c>
      <c r="M8">
        <v>20000</v>
      </c>
    </row>
    <row r="9" spans="1:13" x14ac:dyDescent="0.4">
      <c r="A9" t="s">
        <v>213</v>
      </c>
      <c r="C9" t="s">
        <v>214</v>
      </c>
      <c r="E9" s="47"/>
      <c r="F9" s="47">
        <f>5100*12</f>
        <v>61200</v>
      </c>
      <c r="G9" s="47">
        <f>6376*4+496</f>
        <v>26000</v>
      </c>
      <c r="H9" s="47"/>
      <c r="I9" s="47"/>
      <c r="J9" s="47" t="s">
        <v>215</v>
      </c>
      <c r="M9">
        <v>80000</v>
      </c>
    </row>
    <row r="10" spans="1:13" x14ac:dyDescent="0.4">
      <c r="A10" t="s">
        <v>216</v>
      </c>
      <c r="C10" t="s">
        <v>217</v>
      </c>
      <c r="E10" s="47"/>
      <c r="F10" s="47">
        <v>6000</v>
      </c>
      <c r="G10" s="47">
        <v>6000</v>
      </c>
      <c r="H10" s="47"/>
      <c r="I10" s="47"/>
      <c r="J10" s="47" t="s">
        <v>218</v>
      </c>
      <c r="M10">
        <v>1500</v>
      </c>
    </row>
    <row r="11" spans="1:13" x14ac:dyDescent="0.4">
      <c r="A11" t="s">
        <v>219</v>
      </c>
      <c r="C11" t="s">
        <v>220</v>
      </c>
      <c r="E11" s="47"/>
      <c r="F11" s="47">
        <v>10000</v>
      </c>
      <c r="G11" s="47">
        <v>0</v>
      </c>
      <c r="H11" s="47"/>
      <c r="I11" s="47"/>
      <c r="J11" s="47" t="s">
        <v>221</v>
      </c>
      <c r="M11">
        <v>1000</v>
      </c>
    </row>
    <row r="12" spans="1:13" x14ac:dyDescent="0.4">
      <c r="A12" t="s">
        <v>222</v>
      </c>
      <c r="C12" t="s">
        <v>220</v>
      </c>
      <c r="E12" s="47"/>
      <c r="F12" s="47">
        <f>90000</f>
        <v>90000</v>
      </c>
      <c r="G12" s="47">
        <f>2700*12</f>
        <v>32400</v>
      </c>
      <c r="H12" s="47"/>
      <c r="I12" s="47"/>
      <c r="J12" s="47" t="s">
        <v>223</v>
      </c>
      <c r="M12">
        <v>550</v>
      </c>
    </row>
    <row r="13" spans="1:13" x14ac:dyDescent="0.4">
      <c r="A13" t="s">
        <v>224</v>
      </c>
      <c r="C13" t="s">
        <v>225</v>
      </c>
      <c r="E13" s="47"/>
      <c r="F13" s="47">
        <v>8000</v>
      </c>
      <c r="G13" s="47">
        <v>8000</v>
      </c>
      <c r="H13" s="47"/>
      <c r="I13" s="47"/>
      <c r="J13" s="47" t="s">
        <v>226</v>
      </c>
      <c r="M13">
        <v>2000</v>
      </c>
    </row>
    <row r="14" spans="1:13" x14ac:dyDescent="0.4">
      <c r="E14" s="47"/>
      <c r="F14" s="47"/>
      <c r="G14" s="47"/>
      <c r="H14" s="47"/>
      <c r="I14" s="47"/>
      <c r="J14" s="47" t="s">
        <v>227</v>
      </c>
      <c r="M14">
        <v>100</v>
      </c>
    </row>
    <row r="15" spans="1:13" x14ac:dyDescent="0.4">
      <c r="E15" s="47"/>
      <c r="F15" s="47">
        <f>SUM(F8:F14)</f>
        <v>197200</v>
      </c>
      <c r="G15" s="47">
        <f>SUM(G8:G14)</f>
        <v>100400</v>
      </c>
      <c r="H15" s="47"/>
      <c r="I15" s="47"/>
      <c r="J15" s="47" t="s">
        <v>228</v>
      </c>
      <c r="M15">
        <v>3000</v>
      </c>
    </row>
    <row r="16" spans="1:13" x14ac:dyDescent="0.4">
      <c r="E16" s="47"/>
      <c r="F16" s="47"/>
      <c r="G16" s="47"/>
      <c r="H16" s="47"/>
      <c r="I16" s="47"/>
      <c r="J16" s="47" t="s">
        <v>229</v>
      </c>
      <c r="M16">
        <v>10000</v>
      </c>
    </row>
    <row r="17" spans="1:13" x14ac:dyDescent="0.4">
      <c r="E17" s="47"/>
      <c r="F17" s="47"/>
      <c r="G17" s="47"/>
      <c r="H17" s="47"/>
      <c r="I17" s="47"/>
      <c r="J17" s="47" t="s">
        <v>230</v>
      </c>
      <c r="M17">
        <f>18000+15000</f>
        <v>33000</v>
      </c>
    </row>
    <row r="18" spans="1:13" x14ac:dyDescent="0.4">
      <c r="E18" s="47"/>
      <c r="F18" s="47"/>
      <c r="G18" s="47"/>
      <c r="H18" s="47"/>
      <c r="I18" s="47"/>
      <c r="J18" s="47"/>
      <c r="M18">
        <f>SUM(M8:M17)</f>
        <v>151150</v>
      </c>
    </row>
    <row r="19" spans="1:13" x14ac:dyDescent="0.4">
      <c r="F19" s="47"/>
      <c r="G19" s="47"/>
      <c r="H19" s="47"/>
      <c r="I19" s="47"/>
      <c r="J19" s="47"/>
    </row>
    <row r="20" spans="1:13" x14ac:dyDescent="0.4">
      <c r="A20" t="s">
        <v>231</v>
      </c>
      <c r="J20" s="47"/>
    </row>
    <row r="23" spans="1:13" x14ac:dyDescent="0.4">
      <c r="A23" t="s">
        <v>232</v>
      </c>
      <c r="F23">
        <v>15000</v>
      </c>
    </row>
    <row r="24" spans="1:13" x14ac:dyDescent="0.4">
      <c r="A24" t="s">
        <v>233</v>
      </c>
      <c r="B24" t="s">
        <v>234</v>
      </c>
      <c r="F24">
        <v>15000</v>
      </c>
    </row>
    <row r="26" spans="1:13" x14ac:dyDescent="0.4">
      <c r="F26">
        <f>SUM(F22:F24)</f>
        <v>30000</v>
      </c>
      <c r="H26" s="51"/>
      <c r="I26" s="47"/>
    </row>
    <row r="29" spans="1:13" x14ac:dyDescent="0.4">
      <c r="A29" t="s">
        <v>235</v>
      </c>
      <c r="C29" t="s">
        <v>236</v>
      </c>
      <c r="G29" t="s">
        <v>237</v>
      </c>
      <c r="I29">
        <v>6200</v>
      </c>
    </row>
    <row r="31" spans="1:13" x14ac:dyDescent="0.4">
      <c r="A31" t="s">
        <v>238</v>
      </c>
      <c r="B31">
        <f>4312*12</f>
        <v>51744</v>
      </c>
      <c r="C31">
        <f>B31/35</f>
        <v>1478.4</v>
      </c>
      <c r="G31" t="s">
        <v>239</v>
      </c>
      <c r="H31">
        <v>50000</v>
      </c>
    </row>
    <row r="32" spans="1:13" x14ac:dyDescent="0.4">
      <c r="A32" t="s">
        <v>240</v>
      </c>
      <c r="B32">
        <f>1479*3</f>
        <v>4437</v>
      </c>
      <c r="G32" t="s">
        <v>241</v>
      </c>
      <c r="H32">
        <f>12000*12</f>
        <v>144000</v>
      </c>
    </row>
    <row r="33" spans="1:8" x14ac:dyDescent="0.4">
      <c r="A33" t="s">
        <v>179</v>
      </c>
      <c r="B33">
        <f>1479</f>
        <v>1479</v>
      </c>
      <c r="G33" t="s">
        <v>242</v>
      </c>
      <c r="H33">
        <v>-27000</v>
      </c>
    </row>
    <row r="34" spans="1:8" x14ac:dyDescent="0.4">
      <c r="A34" t="s">
        <v>182</v>
      </c>
      <c r="B34">
        <f>1479*2</f>
        <v>2958</v>
      </c>
    </row>
    <row r="35" spans="1:8" x14ac:dyDescent="0.4">
      <c r="A35" t="s">
        <v>183</v>
      </c>
      <c r="B35">
        <f>1479*4</f>
        <v>5916</v>
      </c>
      <c r="H35">
        <f>SUM(H31:H34)</f>
        <v>167000</v>
      </c>
    </row>
    <row r="36" spans="1:8" x14ac:dyDescent="0.4">
      <c r="A36" t="s">
        <v>185</v>
      </c>
      <c r="B36">
        <f>1479*9</f>
        <v>13311</v>
      </c>
    </row>
    <row r="37" spans="1:8" x14ac:dyDescent="0.4">
      <c r="A37" t="s">
        <v>243</v>
      </c>
      <c r="B37">
        <f>1479*16</f>
        <v>23664</v>
      </c>
    </row>
    <row r="39" spans="1:8" x14ac:dyDescent="0.4">
      <c r="B39">
        <f>SUM(B32:B37)</f>
        <v>51765</v>
      </c>
    </row>
    <row r="41" spans="1:8" x14ac:dyDescent="0.4">
      <c r="A41" t="s">
        <v>244</v>
      </c>
    </row>
    <row r="42" spans="1:8" x14ac:dyDescent="0.4">
      <c r="H42" s="51"/>
    </row>
    <row r="43" spans="1:8" x14ac:dyDescent="0.4">
      <c r="B43">
        <v>1500000</v>
      </c>
    </row>
    <row r="44" spans="1:8" x14ac:dyDescent="0.4">
      <c r="B44">
        <f>B43/60</f>
        <v>25000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M21"/>
  <sheetViews>
    <sheetView workbookViewId="0">
      <selection activeCell="C12" sqref="C12"/>
    </sheetView>
  </sheetViews>
  <sheetFormatPr defaultRowHeight="14.6" x14ac:dyDescent="0.4"/>
  <sheetData>
    <row r="3" spans="1:13" x14ac:dyDescent="0.4">
      <c r="F3" s="51"/>
    </row>
    <row r="4" spans="1:13" x14ac:dyDescent="0.4">
      <c r="A4" t="s">
        <v>245</v>
      </c>
      <c r="C4">
        <f>120000*1.25</f>
        <v>150000</v>
      </c>
      <c r="F4" s="51"/>
    </row>
    <row r="5" spans="1:13" x14ac:dyDescent="0.4">
      <c r="A5" t="s">
        <v>245</v>
      </c>
      <c r="C5">
        <v>30000</v>
      </c>
    </row>
    <row r="6" spans="1:13" x14ac:dyDescent="0.4">
      <c r="A6" t="s">
        <v>246</v>
      </c>
      <c r="C6">
        <v>-76000</v>
      </c>
    </row>
    <row r="7" spans="1:13" x14ac:dyDescent="0.4">
      <c r="A7" t="s">
        <v>246</v>
      </c>
      <c r="C7">
        <v>-13000</v>
      </c>
    </row>
    <row r="10" spans="1:13" x14ac:dyDescent="0.4">
      <c r="A10" t="s">
        <v>247</v>
      </c>
      <c r="C10">
        <f>SUM(C4:C9)</f>
        <v>91000</v>
      </c>
      <c r="M10" s="67"/>
    </row>
    <row r="12" spans="1:13" x14ac:dyDescent="0.4">
      <c r="A12" t="s">
        <v>248</v>
      </c>
      <c r="C12">
        <v>100000</v>
      </c>
    </row>
    <row r="18" spans="1:6" x14ac:dyDescent="0.4">
      <c r="F18" s="51"/>
    </row>
    <row r="20" spans="1:6" x14ac:dyDescent="0.4">
      <c r="A20" s="64"/>
      <c r="B20" s="64"/>
      <c r="C20" s="64"/>
      <c r="D20" s="64"/>
      <c r="E20" s="64"/>
      <c r="F20" s="64"/>
    </row>
    <row r="21" spans="1:6" x14ac:dyDescent="0.4">
      <c r="D21" s="64"/>
      <c r="E21" s="64"/>
      <c r="F21" s="6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7"/>
  <sheetViews>
    <sheetView showGridLines="0" zoomScale="90" zoomScaleNormal="90" workbookViewId="0">
      <selection activeCell="U13" sqref="U13"/>
    </sheetView>
  </sheetViews>
  <sheetFormatPr defaultColWidth="9.15234375" defaultRowHeight="15.9" x14ac:dyDescent="0.45"/>
  <cols>
    <col min="1" max="1" width="32.84375" style="70" customWidth="1"/>
    <col min="2" max="9" width="12.3828125" style="70" hidden="1" customWidth="1"/>
    <col min="10" max="10" width="12.3046875" style="70" hidden="1" customWidth="1"/>
    <col min="11" max="11" width="12.3828125" style="70" hidden="1" customWidth="1"/>
    <col min="12" max="12" width="12.69140625" style="70" hidden="1" customWidth="1"/>
    <col min="13" max="13" width="12.3828125" style="70" hidden="1" customWidth="1"/>
    <col min="14" max="14" width="21.84375" style="70" bestFit="1" customWidth="1"/>
    <col min="15" max="17" width="0" style="70" hidden="1" customWidth="1"/>
    <col min="18" max="16384" width="9.15234375" style="70"/>
  </cols>
  <sheetData>
    <row r="1" spans="1:19" ht="16.3" thickBot="1" x14ac:dyDescent="0.5">
      <c r="A1" s="141" t="s">
        <v>11</v>
      </c>
      <c r="B1" s="68" t="s">
        <v>12</v>
      </c>
      <c r="C1" s="69" t="s">
        <v>13</v>
      </c>
      <c r="D1" s="69" t="s">
        <v>14</v>
      </c>
      <c r="E1" s="69" t="s">
        <v>15</v>
      </c>
      <c r="F1" s="69" t="s">
        <v>16</v>
      </c>
      <c r="G1" s="69" t="s">
        <v>17</v>
      </c>
      <c r="H1" s="69" t="s">
        <v>18</v>
      </c>
      <c r="I1" s="69" t="s">
        <v>19</v>
      </c>
      <c r="J1" s="69" t="s">
        <v>20</v>
      </c>
      <c r="K1" s="69" t="s">
        <v>21</v>
      </c>
      <c r="L1" s="69" t="s">
        <v>22</v>
      </c>
      <c r="M1" s="69" t="s">
        <v>23</v>
      </c>
      <c r="N1" s="75" t="s">
        <v>24</v>
      </c>
    </row>
    <row r="2" spans="1:19" ht="16.5" customHeight="1" x14ac:dyDescent="0.45">
      <c r="A2" s="142" t="s">
        <v>25</v>
      </c>
      <c r="B2" s="71">
        <f>[1]Intäktsberäkning!D6</f>
        <v>1547099</v>
      </c>
      <c r="C2" s="71">
        <v>159948</v>
      </c>
      <c r="D2" s="71">
        <v>159948</v>
      </c>
      <c r="E2" s="71">
        <v>159948</v>
      </c>
      <c r="F2" s="71">
        <v>159948</v>
      </c>
      <c r="G2" s="71">
        <v>159948</v>
      </c>
      <c r="H2" s="71">
        <v>159948</v>
      </c>
      <c r="I2" s="71">
        <v>159948</v>
      </c>
      <c r="J2" s="71">
        <v>159948</v>
      </c>
      <c r="K2" s="71">
        <v>159948</v>
      </c>
      <c r="L2" s="71">
        <v>159948</v>
      </c>
      <c r="M2" s="71">
        <v>159948</v>
      </c>
      <c r="N2" s="137">
        <v>1547099</v>
      </c>
    </row>
    <row r="3" spans="1:19" s="73" customFormat="1" x14ac:dyDescent="0.45">
      <c r="A3" s="141" t="s">
        <v>26</v>
      </c>
      <c r="B3" s="72">
        <f t="shared" ref="B3:M3" si="0">SUM(B2)</f>
        <v>1547099</v>
      </c>
      <c r="C3" s="72">
        <f t="shared" si="0"/>
        <v>159948</v>
      </c>
      <c r="D3" s="72">
        <f t="shared" si="0"/>
        <v>159948</v>
      </c>
      <c r="E3" s="72">
        <f t="shared" si="0"/>
        <v>159948</v>
      </c>
      <c r="F3" s="72">
        <f t="shared" si="0"/>
        <v>159948</v>
      </c>
      <c r="G3" s="72">
        <f t="shared" si="0"/>
        <v>159948</v>
      </c>
      <c r="H3" s="72">
        <f t="shared" si="0"/>
        <v>159948</v>
      </c>
      <c r="I3" s="72">
        <f t="shared" si="0"/>
        <v>159948</v>
      </c>
      <c r="J3" s="72">
        <f t="shared" si="0"/>
        <v>159948</v>
      </c>
      <c r="K3" s="72">
        <f t="shared" si="0"/>
        <v>159948</v>
      </c>
      <c r="L3" s="72">
        <f t="shared" si="0"/>
        <v>159948</v>
      </c>
      <c r="M3" s="72">
        <f t="shared" si="0"/>
        <v>159948</v>
      </c>
      <c r="N3" s="99">
        <f>SUM(N2:N2)</f>
        <v>1547099</v>
      </c>
    </row>
    <row r="4" spans="1:19" s="73" customFormat="1" x14ac:dyDescent="0.45">
      <c r="A4" s="138" t="s">
        <v>27</v>
      </c>
      <c r="B4" s="131">
        <f>100000/12</f>
        <v>8333.3333333333339</v>
      </c>
      <c r="C4" s="131">
        <f t="shared" ref="C4:M4" si="1">100000/12</f>
        <v>8333.3333333333339</v>
      </c>
      <c r="D4" s="131">
        <f t="shared" si="1"/>
        <v>8333.3333333333339</v>
      </c>
      <c r="E4" s="131">
        <f t="shared" si="1"/>
        <v>8333.3333333333339</v>
      </c>
      <c r="F4" s="131">
        <f t="shared" si="1"/>
        <v>8333.3333333333339</v>
      </c>
      <c r="G4" s="131">
        <f t="shared" si="1"/>
        <v>8333.3333333333339</v>
      </c>
      <c r="H4" s="131">
        <f t="shared" si="1"/>
        <v>8333.3333333333339</v>
      </c>
      <c r="I4" s="131">
        <f t="shared" si="1"/>
        <v>8333.3333333333339</v>
      </c>
      <c r="J4" s="131">
        <f t="shared" si="1"/>
        <v>8333.3333333333339</v>
      </c>
      <c r="K4" s="131">
        <f t="shared" si="1"/>
        <v>8333.3333333333339</v>
      </c>
      <c r="L4" s="131">
        <f t="shared" si="1"/>
        <v>8333.3333333333339</v>
      </c>
      <c r="M4" s="131">
        <f t="shared" si="1"/>
        <v>8333.3333333333339</v>
      </c>
      <c r="N4" s="131">
        <v>55000</v>
      </c>
      <c r="O4" s="73" t="s">
        <v>28</v>
      </c>
    </row>
    <row r="5" spans="1:19" x14ac:dyDescent="0.45">
      <c r="A5" s="139" t="s">
        <v>29</v>
      </c>
      <c r="B5" s="131">
        <f>30000/12</f>
        <v>2500</v>
      </c>
      <c r="C5" s="131">
        <f>2500</f>
        <v>2500</v>
      </c>
      <c r="D5" s="131">
        <f>2500</f>
        <v>2500</v>
      </c>
      <c r="E5" s="131">
        <f>2500</f>
        <v>2500</v>
      </c>
      <c r="F5" s="131">
        <f>2500</f>
        <v>2500</v>
      </c>
      <c r="G5" s="131">
        <f>2500</f>
        <v>2500</v>
      </c>
      <c r="H5" s="131">
        <f>2500</f>
        <v>2500</v>
      </c>
      <c r="I5" s="131">
        <f>2500</f>
        <v>2500</v>
      </c>
      <c r="J5" s="131">
        <f>2500</f>
        <v>2500</v>
      </c>
      <c r="K5" s="131">
        <f>2500</f>
        <v>2500</v>
      </c>
      <c r="L5" s="131">
        <f>2500</f>
        <v>2500</v>
      </c>
      <c r="M5" s="131">
        <f>2500</f>
        <v>2500</v>
      </c>
      <c r="N5" s="131">
        <v>20000</v>
      </c>
      <c r="O5" s="70" t="s">
        <v>30</v>
      </c>
    </row>
    <row r="6" spans="1:19" x14ac:dyDescent="0.45">
      <c r="A6" s="139" t="s">
        <v>31</v>
      </c>
      <c r="B6" s="131">
        <f>10000/12</f>
        <v>833.33333333333337</v>
      </c>
      <c r="C6" s="131">
        <f t="shared" ref="C6:M6" si="2">10000/12</f>
        <v>833.33333333333337</v>
      </c>
      <c r="D6" s="131">
        <f t="shared" si="2"/>
        <v>833.33333333333337</v>
      </c>
      <c r="E6" s="131">
        <f t="shared" si="2"/>
        <v>833.33333333333337</v>
      </c>
      <c r="F6" s="131">
        <f t="shared" si="2"/>
        <v>833.33333333333337</v>
      </c>
      <c r="G6" s="131">
        <f t="shared" si="2"/>
        <v>833.33333333333337</v>
      </c>
      <c r="H6" s="131">
        <f t="shared" si="2"/>
        <v>833.33333333333337</v>
      </c>
      <c r="I6" s="131">
        <f t="shared" si="2"/>
        <v>833.33333333333337</v>
      </c>
      <c r="J6" s="131">
        <f t="shared" si="2"/>
        <v>833.33333333333337</v>
      </c>
      <c r="K6" s="131">
        <f t="shared" si="2"/>
        <v>833.33333333333337</v>
      </c>
      <c r="L6" s="131">
        <f t="shared" si="2"/>
        <v>833.33333333333337</v>
      </c>
      <c r="M6" s="131">
        <f t="shared" si="2"/>
        <v>833.33333333333337</v>
      </c>
      <c r="N6" s="131">
        <v>10000</v>
      </c>
    </row>
    <row r="7" spans="1:19" x14ac:dyDescent="0.45">
      <c r="A7" s="139" t="s">
        <v>32</v>
      </c>
      <c r="B7" s="131">
        <f>[1]Personalbudget!Q13/12</f>
        <v>120174.87986666667</v>
      </c>
      <c r="C7" s="131">
        <f>[1]Personalbudget!Q13/12</f>
        <v>120174.87986666667</v>
      </c>
      <c r="D7" s="131">
        <f>[1]Personalbudget!Q13/12</f>
        <v>120174.87986666667</v>
      </c>
      <c r="E7" s="131">
        <f>[1]Personalbudget!Q13/12</f>
        <v>120174.87986666667</v>
      </c>
      <c r="F7" s="131">
        <f>[1]Personalbudget!Q13/12</f>
        <v>120174.87986666667</v>
      </c>
      <c r="G7" s="131">
        <f>[1]Personalbudget!Q13/12</f>
        <v>120174.87986666667</v>
      </c>
      <c r="H7" s="131">
        <f>[1]Personalbudget!Q13/12</f>
        <v>120174.87986666667</v>
      </c>
      <c r="I7" s="131">
        <f>[1]Personalbudget!Q13/12</f>
        <v>120174.87986666667</v>
      </c>
      <c r="J7" s="131">
        <f>[1]Personalbudget!Q13/12</f>
        <v>120174.87986666667</v>
      </c>
      <c r="K7" s="131">
        <f>[1]Personalbudget!Q13/12</f>
        <v>120174.87986666667</v>
      </c>
      <c r="L7" s="131">
        <f>[1]Personalbudget!Q13/12</f>
        <v>120174.87986666667</v>
      </c>
      <c r="M7" s="131">
        <f>[1]Personalbudget!Q13/12</f>
        <v>120174.87986666667</v>
      </c>
      <c r="N7" s="131">
        <f>[1]Personalbudget!Q13</f>
        <v>1442098.5584</v>
      </c>
    </row>
    <row r="8" spans="1:19" x14ac:dyDescent="0.45">
      <c r="A8" s="139" t="s">
        <v>33</v>
      </c>
      <c r="B8" s="131">
        <f>20000/12</f>
        <v>1666.6666666666667</v>
      </c>
      <c r="C8" s="131">
        <f t="shared" ref="C8:M8" si="3">20000/12</f>
        <v>1666.6666666666667</v>
      </c>
      <c r="D8" s="131">
        <f t="shared" si="3"/>
        <v>1666.6666666666667</v>
      </c>
      <c r="E8" s="131">
        <f t="shared" si="3"/>
        <v>1666.6666666666667</v>
      </c>
      <c r="F8" s="131">
        <f t="shared" si="3"/>
        <v>1666.6666666666667</v>
      </c>
      <c r="G8" s="131">
        <f t="shared" si="3"/>
        <v>1666.6666666666667</v>
      </c>
      <c r="H8" s="131">
        <f t="shared" si="3"/>
        <v>1666.6666666666667</v>
      </c>
      <c r="I8" s="131">
        <f t="shared" si="3"/>
        <v>1666.6666666666667</v>
      </c>
      <c r="J8" s="131">
        <f t="shared" si="3"/>
        <v>1666.6666666666667</v>
      </c>
      <c r="K8" s="131">
        <f t="shared" si="3"/>
        <v>1666.6666666666667</v>
      </c>
      <c r="L8" s="131">
        <f t="shared" si="3"/>
        <v>1666.6666666666667</v>
      </c>
      <c r="M8" s="131">
        <f t="shared" si="3"/>
        <v>1666.6666666666667</v>
      </c>
      <c r="N8" s="131">
        <v>20000</v>
      </c>
      <c r="O8" s="70" t="s">
        <v>28</v>
      </c>
    </row>
    <row r="9" spans="1:19" x14ac:dyDescent="0.45">
      <c r="A9" s="143" t="s">
        <v>34</v>
      </c>
      <c r="B9" s="99">
        <f t="shared" ref="B9:M9" si="4">SUM(B4:B8)</f>
        <v>133508.2132</v>
      </c>
      <c r="C9" s="99">
        <f t="shared" si="4"/>
        <v>133508.2132</v>
      </c>
      <c r="D9" s="99">
        <f t="shared" si="4"/>
        <v>133508.2132</v>
      </c>
      <c r="E9" s="99">
        <f t="shared" si="4"/>
        <v>133508.2132</v>
      </c>
      <c r="F9" s="99">
        <f t="shared" si="4"/>
        <v>133508.2132</v>
      </c>
      <c r="G9" s="99">
        <f t="shared" si="4"/>
        <v>133508.2132</v>
      </c>
      <c r="H9" s="99">
        <f t="shared" si="4"/>
        <v>133508.2132</v>
      </c>
      <c r="I9" s="99">
        <f t="shared" si="4"/>
        <v>133508.2132</v>
      </c>
      <c r="J9" s="99">
        <f t="shared" si="4"/>
        <v>133508.2132</v>
      </c>
      <c r="K9" s="99">
        <f t="shared" si="4"/>
        <v>133508.2132</v>
      </c>
      <c r="L9" s="99">
        <f t="shared" si="4"/>
        <v>133508.2132</v>
      </c>
      <c r="M9" s="99">
        <f t="shared" si="4"/>
        <v>133508.2132</v>
      </c>
      <c r="N9" s="99">
        <f>SUM(N4:N8)</f>
        <v>1547098.5584</v>
      </c>
    </row>
    <row r="10" spans="1:19" x14ac:dyDescent="0.45">
      <c r="A10" s="74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88"/>
    </row>
    <row r="11" spans="1:19" x14ac:dyDescent="0.45"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S11" s="128"/>
    </row>
    <row r="12" spans="1:19" x14ac:dyDescent="0.45">
      <c r="A12" s="141" t="s">
        <v>35</v>
      </c>
      <c r="B12" s="75" t="s">
        <v>12</v>
      </c>
      <c r="C12" s="75" t="s">
        <v>13</v>
      </c>
      <c r="D12" s="75" t="s">
        <v>14</v>
      </c>
      <c r="E12" s="75" t="s">
        <v>15</v>
      </c>
      <c r="F12" s="75" t="s">
        <v>16</v>
      </c>
      <c r="G12" s="75" t="s">
        <v>17</v>
      </c>
      <c r="H12" s="75" t="s">
        <v>18</v>
      </c>
      <c r="I12" s="75" t="s">
        <v>19</v>
      </c>
      <c r="J12" s="75" t="s">
        <v>20</v>
      </c>
      <c r="K12" s="75" t="s">
        <v>21</v>
      </c>
      <c r="L12" s="75" t="s">
        <v>22</v>
      </c>
      <c r="M12" s="75" t="s">
        <v>23</v>
      </c>
      <c r="N12" s="75" t="s">
        <v>24</v>
      </c>
    </row>
    <row r="13" spans="1:19" x14ac:dyDescent="0.45">
      <c r="A13" s="144" t="s">
        <v>25</v>
      </c>
      <c r="B13" s="71">
        <f>[1]Intäktsberäkning!D7</f>
        <v>2710937</v>
      </c>
      <c r="C13" s="92">
        <v>98961</v>
      </c>
      <c r="D13" s="92">
        <v>98961</v>
      </c>
      <c r="E13" s="92">
        <v>98961</v>
      </c>
      <c r="F13" s="92">
        <v>98961</v>
      </c>
      <c r="G13" s="92">
        <v>98961</v>
      </c>
      <c r="H13" s="92">
        <v>98961</v>
      </c>
      <c r="I13" s="92">
        <v>98961</v>
      </c>
      <c r="J13" s="92">
        <v>98961</v>
      </c>
      <c r="K13" s="92">
        <v>98961</v>
      </c>
      <c r="L13" s="92">
        <v>98961</v>
      </c>
      <c r="M13" s="92">
        <v>98961</v>
      </c>
      <c r="N13" s="94">
        <v>2710937</v>
      </c>
    </row>
    <row r="14" spans="1:19" x14ac:dyDescent="0.45">
      <c r="A14" s="141" t="s">
        <v>26</v>
      </c>
      <c r="B14" s="145">
        <f t="shared" ref="B14:M14" si="5">SUM(B13:B13)</f>
        <v>2710937</v>
      </c>
      <c r="C14" s="99">
        <f t="shared" si="5"/>
        <v>98961</v>
      </c>
      <c r="D14" s="99">
        <f t="shared" si="5"/>
        <v>98961</v>
      </c>
      <c r="E14" s="99">
        <f t="shared" si="5"/>
        <v>98961</v>
      </c>
      <c r="F14" s="99">
        <f t="shared" si="5"/>
        <v>98961</v>
      </c>
      <c r="G14" s="99">
        <f t="shared" si="5"/>
        <v>98961</v>
      </c>
      <c r="H14" s="99">
        <f t="shared" si="5"/>
        <v>98961</v>
      </c>
      <c r="I14" s="99">
        <f t="shared" si="5"/>
        <v>98961</v>
      </c>
      <c r="J14" s="99">
        <f t="shared" si="5"/>
        <v>98961</v>
      </c>
      <c r="K14" s="99">
        <f t="shared" si="5"/>
        <v>98961</v>
      </c>
      <c r="L14" s="99">
        <f t="shared" si="5"/>
        <v>98961</v>
      </c>
      <c r="M14" s="99">
        <f t="shared" si="5"/>
        <v>98961</v>
      </c>
      <c r="N14" s="99">
        <f>SUM(N13:N13)</f>
        <v>2710937</v>
      </c>
    </row>
    <row r="15" spans="1:19" x14ac:dyDescent="0.45">
      <c r="A15" s="139" t="s">
        <v>36</v>
      </c>
      <c r="B15" s="131">
        <f>[1]Personalbudget!Q19/12</f>
        <v>225911.42761999997</v>
      </c>
      <c r="C15" s="131">
        <f>[1]Personalbudget!Q19/12</f>
        <v>225911.42761999997</v>
      </c>
      <c r="D15" s="131">
        <f>[1]Personalbudget!Q19/12</f>
        <v>225911.42761999997</v>
      </c>
      <c r="E15" s="131">
        <f>[1]Personalbudget!Q19/12</f>
        <v>225911.42761999997</v>
      </c>
      <c r="F15" s="131">
        <f>[1]Personalbudget!Q19/12</f>
        <v>225911.42761999997</v>
      </c>
      <c r="G15" s="131">
        <f>[1]Personalbudget!Q19/12</f>
        <v>225911.42761999997</v>
      </c>
      <c r="H15" s="131">
        <f>[1]Personalbudget!Q19/12</f>
        <v>225911.42761999997</v>
      </c>
      <c r="I15" s="131">
        <f>[1]Personalbudget!Q19/12</f>
        <v>225911.42761999997</v>
      </c>
      <c r="J15" s="131">
        <f>[1]Personalbudget!Q19/12</f>
        <v>225911.42761999997</v>
      </c>
      <c r="K15" s="131">
        <f>[1]Personalbudget!Q19/12</f>
        <v>225911.42761999997</v>
      </c>
      <c r="L15" s="131">
        <f>[1]Personalbudget!Q19/12</f>
        <v>225911.42761999997</v>
      </c>
      <c r="M15" s="131">
        <f>[1]Personalbudget!Q19/12</f>
        <v>225911.42761999997</v>
      </c>
      <c r="N15" s="94">
        <f>[1]Personalbudget!Q19</f>
        <v>2710937.1314399997</v>
      </c>
    </row>
    <row r="16" spans="1:19" x14ac:dyDescent="0.45">
      <c r="A16" s="146" t="s">
        <v>34</v>
      </c>
      <c r="B16" s="145">
        <f t="shared" ref="B16:M16" si="6">SUM(B15:B15)</f>
        <v>225911.42761999997</v>
      </c>
      <c r="C16" s="99">
        <f t="shared" si="6"/>
        <v>225911.42761999997</v>
      </c>
      <c r="D16" s="99">
        <f t="shared" si="6"/>
        <v>225911.42761999997</v>
      </c>
      <c r="E16" s="99">
        <f t="shared" si="6"/>
        <v>225911.42761999997</v>
      </c>
      <c r="F16" s="99">
        <f t="shared" si="6"/>
        <v>225911.42761999997</v>
      </c>
      <c r="G16" s="99">
        <f t="shared" si="6"/>
        <v>225911.42761999997</v>
      </c>
      <c r="H16" s="99">
        <f t="shared" si="6"/>
        <v>225911.42761999997</v>
      </c>
      <c r="I16" s="99">
        <f t="shared" si="6"/>
        <v>225911.42761999997</v>
      </c>
      <c r="J16" s="99">
        <f t="shared" si="6"/>
        <v>225911.42761999997</v>
      </c>
      <c r="K16" s="99">
        <f t="shared" si="6"/>
        <v>225911.42761999997</v>
      </c>
      <c r="L16" s="99">
        <f t="shared" si="6"/>
        <v>225911.42761999997</v>
      </c>
      <c r="M16" s="99">
        <f t="shared" si="6"/>
        <v>225911.42761999997</v>
      </c>
      <c r="N16" s="99">
        <f>SUM(N15:N15)</f>
        <v>2710937.1314399997</v>
      </c>
    </row>
    <row r="17" spans="1:14" x14ac:dyDescent="0.45">
      <c r="A17" s="74"/>
      <c r="N17" s="8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"/>
  <sheetViews>
    <sheetView workbookViewId="0">
      <selection activeCell="A4" sqref="A4"/>
    </sheetView>
  </sheetViews>
  <sheetFormatPr defaultColWidth="9.15234375" defaultRowHeight="18.45" x14ac:dyDescent="0.5"/>
  <cols>
    <col min="1" max="1" width="61.3828125" style="2" customWidth="1"/>
    <col min="2" max="13" width="18.84375" style="2" hidden="1" customWidth="1"/>
    <col min="14" max="15" width="20.84375" style="2" customWidth="1"/>
    <col min="16" max="16384" width="9.15234375" style="2"/>
  </cols>
  <sheetData>
    <row r="1" spans="1:15" ht="23.15" x14ac:dyDescent="0.6">
      <c r="A1" s="28" t="s">
        <v>35</v>
      </c>
      <c r="B1" s="31" t="s">
        <v>12</v>
      </c>
      <c r="C1" s="31" t="s">
        <v>13</v>
      </c>
      <c r="D1" s="31" t="s">
        <v>14</v>
      </c>
      <c r="E1" s="31" t="s">
        <v>15</v>
      </c>
      <c r="F1" s="31" t="s">
        <v>16</v>
      </c>
      <c r="G1" s="31" t="s">
        <v>17</v>
      </c>
      <c r="H1" s="31" t="s">
        <v>18</v>
      </c>
      <c r="I1" s="31" t="s">
        <v>19</v>
      </c>
      <c r="J1" s="31" t="s">
        <v>20</v>
      </c>
      <c r="K1" s="31" t="s">
        <v>21</v>
      </c>
      <c r="L1" s="31" t="s">
        <v>22</v>
      </c>
      <c r="M1" s="31" t="s">
        <v>23</v>
      </c>
      <c r="N1" s="31" t="s">
        <v>37</v>
      </c>
      <c r="O1" s="31" t="s">
        <v>38</v>
      </c>
    </row>
    <row r="2" spans="1:15" ht="23.15" x14ac:dyDescent="0.6">
      <c r="A2" s="13" t="s">
        <v>39</v>
      </c>
      <c r="B2" s="30">
        <f>4878</f>
        <v>4878</v>
      </c>
      <c r="C2" s="30">
        <f>7155</f>
        <v>7155</v>
      </c>
      <c r="D2" s="30">
        <f>7155</f>
        <v>7155</v>
      </c>
      <c r="E2" s="30">
        <f>7155</f>
        <v>7155</v>
      </c>
      <c r="F2" s="30">
        <f>7155</f>
        <v>7155</v>
      </c>
      <c r="G2" s="30">
        <f>7155</f>
        <v>7155</v>
      </c>
      <c r="H2" s="30">
        <f>7155</f>
        <v>7155</v>
      </c>
      <c r="I2" s="30">
        <f>7155</f>
        <v>7155</v>
      </c>
      <c r="J2" s="30">
        <f>7155</f>
        <v>7155</v>
      </c>
      <c r="K2" s="30">
        <f>7155</f>
        <v>7155</v>
      </c>
      <c r="L2" s="30">
        <f>7155</f>
        <v>7155</v>
      </c>
      <c r="M2" s="30">
        <f>7155</f>
        <v>7155</v>
      </c>
      <c r="N2" s="12">
        <f>SUM(B2:M2)</f>
        <v>83583</v>
      </c>
      <c r="O2" s="12">
        <v>29116</v>
      </c>
    </row>
    <row r="3" spans="1:15" ht="23.15" x14ac:dyDescent="0.6">
      <c r="A3" s="14" t="s">
        <v>40</v>
      </c>
      <c r="B3" s="7">
        <f>10000+10000+10150+10156</f>
        <v>40306</v>
      </c>
      <c r="C3" s="7">
        <f>10000+10000+10150+10156</f>
        <v>40306</v>
      </c>
      <c r="D3" s="7">
        <f>10000+10000+10150+10156</f>
        <v>40306</v>
      </c>
      <c r="E3" s="7">
        <f>10000+10000+10150+10156</f>
        <v>40306</v>
      </c>
      <c r="F3" s="7">
        <f>10000+10000+10150</f>
        <v>30150</v>
      </c>
      <c r="G3" s="7">
        <f>10000+10000+10150</f>
        <v>30150</v>
      </c>
      <c r="H3" s="7">
        <f t="shared" ref="H3:M3" si="0">10000+10150</f>
        <v>20150</v>
      </c>
      <c r="I3" s="7">
        <f t="shared" si="0"/>
        <v>20150</v>
      </c>
      <c r="J3" s="7">
        <f t="shared" si="0"/>
        <v>20150</v>
      </c>
      <c r="K3" s="7">
        <f t="shared" si="0"/>
        <v>20150</v>
      </c>
      <c r="L3" s="7">
        <f t="shared" si="0"/>
        <v>20150</v>
      </c>
      <c r="M3" s="7">
        <f t="shared" si="0"/>
        <v>20150</v>
      </c>
      <c r="N3" s="8">
        <f>SUM(B3:M3)</f>
        <v>342424</v>
      </c>
      <c r="O3" s="8">
        <f>201800+1183</f>
        <v>202983</v>
      </c>
    </row>
    <row r="4" spans="1:15" ht="23.15" x14ac:dyDescent="0.6">
      <c r="A4" s="15" t="s">
        <v>41</v>
      </c>
      <c r="B4" s="7">
        <f>65818</f>
        <v>65818</v>
      </c>
      <c r="C4" s="7">
        <f t="shared" ref="C4:M4" si="1">65818</f>
        <v>65818</v>
      </c>
      <c r="D4" s="7">
        <f t="shared" si="1"/>
        <v>65818</v>
      </c>
      <c r="E4" s="7">
        <f t="shared" si="1"/>
        <v>65818</v>
      </c>
      <c r="F4" s="7">
        <f t="shared" si="1"/>
        <v>65818</v>
      </c>
      <c r="G4" s="7">
        <f t="shared" si="1"/>
        <v>65818</v>
      </c>
      <c r="H4" s="7">
        <f t="shared" si="1"/>
        <v>65818</v>
      </c>
      <c r="I4" s="7">
        <f t="shared" si="1"/>
        <v>65818</v>
      </c>
      <c r="J4" s="7">
        <f t="shared" si="1"/>
        <v>65818</v>
      </c>
      <c r="K4" s="7">
        <f t="shared" si="1"/>
        <v>65818</v>
      </c>
      <c r="L4" s="7">
        <f t="shared" si="1"/>
        <v>65818</v>
      </c>
      <c r="M4" s="7">
        <f t="shared" si="1"/>
        <v>65818</v>
      </c>
      <c r="N4" s="8">
        <f>SUM(B4:M4)</f>
        <v>789816</v>
      </c>
      <c r="O4" s="8">
        <v>1006716</v>
      </c>
    </row>
    <row r="5" spans="1:15" s="3" customFormat="1" ht="23.15" x14ac:dyDescent="0.6">
      <c r="A5" s="28" t="s">
        <v>26</v>
      </c>
      <c r="B5" s="16">
        <f t="shared" ref="B5:N5" si="2">SUM(B2:B4)</f>
        <v>111002</v>
      </c>
      <c r="C5" s="9">
        <f t="shared" si="2"/>
        <v>113279</v>
      </c>
      <c r="D5" s="9">
        <f t="shared" si="2"/>
        <v>113279</v>
      </c>
      <c r="E5" s="9">
        <f t="shared" si="2"/>
        <v>113279</v>
      </c>
      <c r="F5" s="9">
        <f t="shared" si="2"/>
        <v>103123</v>
      </c>
      <c r="G5" s="9">
        <f t="shared" si="2"/>
        <v>103123</v>
      </c>
      <c r="H5" s="9">
        <f t="shared" si="2"/>
        <v>93123</v>
      </c>
      <c r="I5" s="9">
        <f t="shared" si="2"/>
        <v>93123</v>
      </c>
      <c r="J5" s="9">
        <f t="shared" si="2"/>
        <v>93123</v>
      </c>
      <c r="K5" s="9">
        <f t="shared" si="2"/>
        <v>93123</v>
      </c>
      <c r="L5" s="9">
        <f t="shared" si="2"/>
        <v>93123</v>
      </c>
      <c r="M5" s="9">
        <f t="shared" si="2"/>
        <v>93123</v>
      </c>
      <c r="N5" s="9">
        <f t="shared" si="2"/>
        <v>1215823</v>
      </c>
      <c r="O5" s="9">
        <f>SUM(O2:O4)</f>
        <v>1238815</v>
      </c>
    </row>
    <row r="6" spans="1:15" s="4" customFormat="1" ht="23.15" x14ac:dyDescent="0.6">
      <c r="A6" s="17" t="s">
        <v>42</v>
      </c>
      <c r="B6" s="18">
        <f>300</f>
        <v>300</v>
      </c>
      <c r="C6" s="18">
        <f>300</f>
        <v>300</v>
      </c>
      <c r="D6" s="18">
        <f>300</f>
        <v>300</v>
      </c>
      <c r="E6" s="18">
        <f>300</f>
        <v>300</v>
      </c>
      <c r="F6" s="18">
        <f>300</f>
        <v>300</v>
      </c>
      <c r="G6" s="18">
        <f>300</f>
        <v>300</v>
      </c>
      <c r="H6" s="18">
        <f>300</f>
        <v>300</v>
      </c>
      <c r="I6" s="18">
        <f>300</f>
        <v>300</v>
      </c>
      <c r="J6" s="18">
        <f>300</f>
        <v>300</v>
      </c>
      <c r="K6" s="18">
        <f>300</f>
        <v>300</v>
      </c>
      <c r="L6" s="18">
        <f>300</f>
        <v>300</v>
      </c>
      <c r="M6" s="18">
        <f>300</f>
        <v>300</v>
      </c>
      <c r="N6" s="8">
        <f>SUM(B6:M6)</f>
        <v>3600</v>
      </c>
      <c r="O6" s="8">
        <v>0</v>
      </c>
    </row>
    <row r="7" spans="1:15" ht="23.15" x14ac:dyDescent="0.6">
      <c r="A7" s="19" t="s">
        <v>43</v>
      </c>
      <c r="B7" s="7">
        <f>300</f>
        <v>300</v>
      </c>
      <c r="C7" s="7">
        <f>300</f>
        <v>300</v>
      </c>
      <c r="D7" s="7">
        <f>300</f>
        <v>300</v>
      </c>
      <c r="E7" s="7">
        <f>300</f>
        <v>300</v>
      </c>
      <c r="F7" s="7">
        <f>300</f>
        <v>300</v>
      </c>
      <c r="G7" s="7">
        <f>300</f>
        <v>300</v>
      </c>
      <c r="H7" s="7">
        <f>300</f>
        <v>300</v>
      </c>
      <c r="I7" s="7">
        <f>300</f>
        <v>300</v>
      </c>
      <c r="J7" s="7">
        <f>300</f>
        <v>300</v>
      </c>
      <c r="K7" s="7">
        <f>300</f>
        <v>300</v>
      </c>
      <c r="L7" s="7">
        <f>300</f>
        <v>300</v>
      </c>
      <c r="M7" s="7">
        <f>300</f>
        <v>300</v>
      </c>
      <c r="N7" s="8">
        <f>SUM(B7:M7)</f>
        <v>3600</v>
      </c>
      <c r="O7" s="8">
        <v>2134</v>
      </c>
    </row>
    <row r="8" spans="1:15" ht="23.15" x14ac:dyDescent="0.6">
      <c r="A8" s="19" t="s">
        <v>44</v>
      </c>
      <c r="B8" s="7">
        <f>1000</f>
        <v>1000</v>
      </c>
      <c r="C8" s="7">
        <f>1000</f>
        <v>1000</v>
      </c>
      <c r="D8" s="7">
        <f>1000</f>
        <v>1000</v>
      </c>
      <c r="E8" s="7">
        <f>1000</f>
        <v>1000</v>
      </c>
      <c r="F8" s="7">
        <f>1000</f>
        <v>1000</v>
      </c>
      <c r="G8" s="7">
        <f>1000</f>
        <v>1000</v>
      </c>
      <c r="H8" s="7">
        <f>1000</f>
        <v>1000</v>
      </c>
      <c r="I8" s="7">
        <f>1000</f>
        <v>1000</v>
      </c>
      <c r="J8" s="7">
        <f>1000</f>
        <v>1000</v>
      </c>
      <c r="K8" s="7">
        <f>1000</f>
        <v>1000</v>
      </c>
      <c r="L8" s="7">
        <f>1000</f>
        <v>1000</v>
      </c>
      <c r="M8" s="7">
        <f>1000</f>
        <v>1000</v>
      </c>
      <c r="N8" s="8">
        <f>SUM(B8:M8)</f>
        <v>12000</v>
      </c>
      <c r="O8" s="8">
        <v>1074</v>
      </c>
    </row>
    <row r="9" spans="1:15" ht="23.15" x14ac:dyDescent="0.6">
      <c r="A9" s="20" t="s">
        <v>36</v>
      </c>
      <c r="B9" s="7">
        <f>(15500+48316)+(63816*0.8%*30/12)</f>
        <v>65092.32</v>
      </c>
      <c r="C9" s="7">
        <f>(15500+48316)+(63816*0.8%*30/12)</f>
        <v>65092.32</v>
      </c>
      <c r="D9" s="7">
        <f>(15500+48316)+(63816*0.8%*30/12)</f>
        <v>65092.32</v>
      </c>
      <c r="E9" s="7">
        <f>(15500+48316)+(63816*0.8%*30/12)</f>
        <v>65092.32</v>
      </c>
      <c r="F9" s="7">
        <f>(15934+49669)+(65603*0.8%*30/12)</f>
        <v>66915.06</v>
      </c>
      <c r="G9" s="7">
        <f t="shared" ref="G9:M9" si="3">(15934+49669)+(65603*0.8%*30/12)</f>
        <v>66915.06</v>
      </c>
      <c r="H9" s="7">
        <f t="shared" si="3"/>
        <v>66915.06</v>
      </c>
      <c r="I9" s="7">
        <f t="shared" si="3"/>
        <v>66915.06</v>
      </c>
      <c r="J9" s="7">
        <f t="shared" si="3"/>
        <v>66915.06</v>
      </c>
      <c r="K9" s="7">
        <f t="shared" si="3"/>
        <v>66915.06</v>
      </c>
      <c r="L9" s="7">
        <f t="shared" si="3"/>
        <v>66915.06</v>
      </c>
      <c r="M9" s="7">
        <f t="shared" si="3"/>
        <v>66915.06</v>
      </c>
      <c r="N9" s="8">
        <f>795690+9408+212769+172988+41967+1512</f>
        <v>1234334</v>
      </c>
      <c r="O9" s="8">
        <v>1248748</v>
      </c>
    </row>
    <row r="10" spans="1:15" ht="23.15" x14ac:dyDescent="0.6">
      <c r="A10" s="29" t="s">
        <v>34</v>
      </c>
      <c r="B10" s="16">
        <f t="shared" ref="B10:N10" si="4">SUM(B7:B9)</f>
        <v>66392.320000000007</v>
      </c>
      <c r="C10" s="9">
        <f t="shared" si="4"/>
        <v>66392.320000000007</v>
      </c>
      <c r="D10" s="9">
        <f t="shared" si="4"/>
        <v>66392.320000000007</v>
      </c>
      <c r="E10" s="9">
        <f t="shared" si="4"/>
        <v>66392.320000000007</v>
      </c>
      <c r="F10" s="9">
        <f t="shared" si="4"/>
        <v>68215.06</v>
      </c>
      <c r="G10" s="9">
        <f t="shared" si="4"/>
        <v>68215.06</v>
      </c>
      <c r="H10" s="9">
        <f t="shared" si="4"/>
        <v>68215.06</v>
      </c>
      <c r="I10" s="9">
        <f t="shared" si="4"/>
        <v>68215.06</v>
      </c>
      <c r="J10" s="9">
        <f t="shared" si="4"/>
        <v>68215.06</v>
      </c>
      <c r="K10" s="9">
        <f t="shared" si="4"/>
        <v>68215.06</v>
      </c>
      <c r="L10" s="9">
        <f t="shared" si="4"/>
        <v>68215.06</v>
      </c>
      <c r="M10" s="9">
        <f t="shared" si="4"/>
        <v>68215.06</v>
      </c>
      <c r="N10" s="9">
        <f t="shared" si="4"/>
        <v>1249934</v>
      </c>
      <c r="O10" s="9">
        <f>SUM(O7:O9)</f>
        <v>1251956</v>
      </c>
    </row>
    <row r="11" spans="1:15" ht="23.15" x14ac:dyDescent="0.6">
      <c r="A11" s="11" t="s">
        <v>45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>
        <f>N5-N10</f>
        <v>-34111</v>
      </c>
      <c r="O11" s="11">
        <f>O5-O10</f>
        <v>-13141</v>
      </c>
    </row>
    <row r="12" spans="1:15" ht="23.15" x14ac:dyDescent="0.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21"/>
      <c r="O12" s="21"/>
    </row>
    <row r="13" spans="1:15" ht="23.15" x14ac:dyDescent="0.6">
      <c r="A13" s="22"/>
      <c r="B13" s="23"/>
      <c r="C13" s="22"/>
      <c r="D13" s="24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23.15" x14ac:dyDescent="0.6">
      <c r="A14" s="25"/>
      <c r="B14" s="26"/>
      <c r="C14" s="25"/>
      <c r="D14" s="27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ht="23.15" x14ac:dyDescent="0.6">
      <c r="A15" s="25"/>
      <c r="B15" s="26"/>
      <c r="C15" s="25"/>
      <c r="D15" s="27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23.15" x14ac:dyDescent="0.6">
      <c r="A16" s="25"/>
      <c r="B16" s="26"/>
      <c r="C16" s="25"/>
      <c r="D16" s="27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4" x14ac:dyDescent="0.5">
      <c r="A17" s="5"/>
      <c r="B17" s="6"/>
      <c r="D17" s="1"/>
    </row>
  </sheetData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4"/>
  <sheetViews>
    <sheetView showGridLines="0" zoomScaleNormal="100" workbookViewId="0">
      <selection activeCell="N6" sqref="N6"/>
    </sheetView>
  </sheetViews>
  <sheetFormatPr defaultColWidth="8.84375" defaultRowHeight="15.9" x14ac:dyDescent="0.45"/>
  <cols>
    <col min="1" max="1" width="47" style="78" bestFit="1" customWidth="1"/>
    <col min="2" max="2" width="11.15234375" style="78" hidden="1" customWidth="1"/>
    <col min="3" max="9" width="11.3046875" style="78" hidden="1" customWidth="1"/>
    <col min="10" max="10" width="11.53515625" style="78" hidden="1" customWidth="1"/>
    <col min="11" max="13" width="11.3046875" style="78" hidden="1" customWidth="1"/>
    <col min="14" max="14" width="21.84375" style="78" bestFit="1" customWidth="1"/>
    <col min="15" max="16384" width="8.84375" style="78"/>
  </cols>
  <sheetData>
    <row r="1" spans="1:14" x14ac:dyDescent="0.45">
      <c r="A1" s="76" t="s">
        <v>46</v>
      </c>
      <c r="B1" s="77" t="s">
        <v>12</v>
      </c>
      <c r="C1" s="77" t="s">
        <v>13</v>
      </c>
      <c r="D1" s="77" t="s">
        <v>14</v>
      </c>
      <c r="E1" s="77" t="s">
        <v>15</v>
      </c>
      <c r="F1" s="77" t="s">
        <v>16</v>
      </c>
      <c r="G1" s="77" t="s">
        <v>17</v>
      </c>
      <c r="H1" s="77" t="s">
        <v>18</v>
      </c>
      <c r="I1" s="77" t="s">
        <v>19</v>
      </c>
      <c r="J1" s="77" t="s">
        <v>20</v>
      </c>
      <c r="K1" s="77" t="s">
        <v>21</v>
      </c>
      <c r="L1" s="77" t="s">
        <v>22</v>
      </c>
      <c r="M1" s="77" t="s">
        <v>23</v>
      </c>
      <c r="N1" s="75" t="s">
        <v>24</v>
      </c>
    </row>
    <row r="2" spans="1:14" x14ac:dyDescent="0.45">
      <c r="A2" s="79" t="s">
        <v>47</v>
      </c>
      <c r="B2" s="80">
        <f>[1]Intäktsberäkning!D8</f>
        <v>300000</v>
      </c>
      <c r="C2" s="80">
        <v>17152</v>
      </c>
      <c r="D2" s="80">
        <v>17152</v>
      </c>
      <c r="E2" s="80">
        <v>17152</v>
      </c>
      <c r="F2" s="80">
        <v>17152</v>
      </c>
      <c r="G2" s="80">
        <v>17152</v>
      </c>
      <c r="H2" s="80">
        <v>17152</v>
      </c>
      <c r="I2" s="80">
        <v>17152</v>
      </c>
      <c r="J2" s="80">
        <v>17152</v>
      </c>
      <c r="K2" s="80">
        <v>17152</v>
      </c>
      <c r="L2" s="80">
        <v>17152</v>
      </c>
      <c r="M2" s="80">
        <v>17152</v>
      </c>
      <c r="N2" s="81">
        <v>300000</v>
      </c>
    </row>
    <row r="3" spans="1:14" x14ac:dyDescent="0.45">
      <c r="A3" s="76" t="s">
        <v>26</v>
      </c>
      <c r="B3" s="82">
        <f t="shared" ref="B3:M3" si="0">SUM(B2:B2)</f>
        <v>300000</v>
      </c>
      <c r="C3" s="82">
        <f t="shared" si="0"/>
        <v>17152</v>
      </c>
      <c r="D3" s="82">
        <f t="shared" si="0"/>
        <v>17152</v>
      </c>
      <c r="E3" s="82">
        <f t="shared" si="0"/>
        <v>17152</v>
      </c>
      <c r="F3" s="82">
        <f t="shared" si="0"/>
        <v>17152</v>
      </c>
      <c r="G3" s="82">
        <f t="shared" si="0"/>
        <v>17152</v>
      </c>
      <c r="H3" s="82">
        <f t="shared" si="0"/>
        <v>17152</v>
      </c>
      <c r="I3" s="82">
        <f t="shared" si="0"/>
        <v>17152</v>
      </c>
      <c r="J3" s="82">
        <f t="shared" si="0"/>
        <v>17152</v>
      </c>
      <c r="K3" s="82">
        <f>SUM(K2:K2)</f>
        <v>17152</v>
      </c>
      <c r="L3" s="82">
        <f t="shared" si="0"/>
        <v>17152</v>
      </c>
      <c r="M3" s="82">
        <f t="shared" si="0"/>
        <v>17152</v>
      </c>
      <c r="N3" s="83">
        <f>SUM(N2)</f>
        <v>300000</v>
      </c>
    </row>
    <row r="4" spans="1:14" x14ac:dyDescent="0.45">
      <c r="A4" s="135" t="s">
        <v>48</v>
      </c>
      <c r="B4" s="129">
        <v>5000</v>
      </c>
      <c r="C4" s="129">
        <v>5000</v>
      </c>
      <c r="D4" s="129">
        <v>5000</v>
      </c>
      <c r="E4" s="129">
        <v>5000</v>
      </c>
      <c r="F4" s="129">
        <v>5000</v>
      </c>
      <c r="G4" s="129">
        <v>5000</v>
      </c>
      <c r="H4" s="129">
        <v>5000</v>
      </c>
      <c r="I4" s="129">
        <v>5000</v>
      </c>
      <c r="J4" s="129">
        <v>5000</v>
      </c>
      <c r="K4" s="129">
        <v>5000</v>
      </c>
      <c r="L4" s="129">
        <v>5000</v>
      </c>
      <c r="M4" s="129">
        <v>5000</v>
      </c>
      <c r="N4" s="129">
        <v>50000</v>
      </c>
    </row>
    <row r="5" spans="1:14" x14ac:dyDescent="0.45">
      <c r="A5" s="135" t="s">
        <v>49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>
        <v>150000</v>
      </c>
    </row>
    <row r="6" spans="1:14" x14ac:dyDescent="0.45">
      <c r="A6" s="136" t="s">
        <v>50</v>
      </c>
      <c r="B6" s="129">
        <f>110000/12</f>
        <v>9166.6666666666661</v>
      </c>
      <c r="C6" s="129">
        <f t="shared" ref="C6:M6" si="1">110000/12</f>
        <v>9166.6666666666661</v>
      </c>
      <c r="D6" s="129">
        <f t="shared" si="1"/>
        <v>9166.6666666666661</v>
      </c>
      <c r="E6" s="129">
        <f t="shared" si="1"/>
        <v>9166.6666666666661</v>
      </c>
      <c r="F6" s="129">
        <f t="shared" si="1"/>
        <v>9166.6666666666661</v>
      </c>
      <c r="G6" s="129">
        <f t="shared" si="1"/>
        <v>9166.6666666666661</v>
      </c>
      <c r="H6" s="129">
        <f t="shared" si="1"/>
        <v>9166.6666666666661</v>
      </c>
      <c r="I6" s="129">
        <f t="shared" si="1"/>
        <v>9166.6666666666661</v>
      </c>
      <c r="J6" s="129">
        <f t="shared" si="1"/>
        <v>9166.6666666666661</v>
      </c>
      <c r="K6" s="129">
        <f t="shared" si="1"/>
        <v>9166.6666666666661</v>
      </c>
      <c r="L6" s="129">
        <f t="shared" si="1"/>
        <v>9166.6666666666661</v>
      </c>
      <c r="M6" s="129">
        <f t="shared" si="1"/>
        <v>9166.6666666666661</v>
      </c>
      <c r="N6" s="129">
        <v>100000</v>
      </c>
    </row>
    <row r="7" spans="1:14" x14ac:dyDescent="0.45">
      <c r="A7" s="135" t="s">
        <v>51</v>
      </c>
      <c r="B7" s="129">
        <f>50386/12</f>
        <v>4198.833333333333</v>
      </c>
      <c r="C7" s="129">
        <f t="shared" ref="C7:M7" si="2">50386/12</f>
        <v>4198.833333333333</v>
      </c>
      <c r="D7" s="129">
        <f t="shared" si="2"/>
        <v>4198.833333333333</v>
      </c>
      <c r="E7" s="129">
        <f t="shared" si="2"/>
        <v>4198.833333333333</v>
      </c>
      <c r="F7" s="129">
        <f t="shared" si="2"/>
        <v>4198.833333333333</v>
      </c>
      <c r="G7" s="129">
        <f t="shared" si="2"/>
        <v>4198.833333333333</v>
      </c>
      <c r="H7" s="129">
        <f t="shared" si="2"/>
        <v>4198.833333333333</v>
      </c>
      <c r="I7" s="129">
        <f t="shared" si="2"/>
        <v>4198.833333333333</v>
      </c>
      <c r="J7" s="129">
        <f t="shared" si="2"/>
        <v>4198.833333333333</v>
      </c>
      <c r="K7" s="129">
        <f t="shared" si="2"/>
        <v>4198.833333333333</v>
      </c>
      <c r="L7" s="129">
        <f t="shared" si="2"/>
        <v>4198.833333333333</v>
      </c>
      <c r="M7" s="129">
        <f t="shared" si="2"/>
        <v>4198.833333333333</v>
      </c>
      <c r="N7" s="129">
        <v>50000</v>
      </c>
    </row>
    <row r="8" spans="1:14" x14ac:dyDescent="0.45">
      <c r="A8" s="85" t="s">
        <v>34</v>
      </c>
      <c r="B8" s="86">
        <f t="shared" ref="B8:M8" si="3">SUM(B4:B7)</f>
        <v>18365.5</v>
      </c>
      <c r="C8" s="86">
        <f t="shared" si="3"/>
        <v>18365.5</v>
      </c>
      <c r="D8" s="86">
        <f t="shared" si="3"/>
        <v>18365.5</v>
      </c>
      <c r="E8" s="86">
        <f t="shared" si="3"/>
        <v>18365.5</v>
      </c>
      <c r="F8" s="86">
        <f t="shared" si="3"/>
        <v>18365.5</v>
      </c>
      <c r="G8" s="86">
        <f t="shared" si="3"/>
        <v>18365.5</v>
      </c>
      <c r="H8" s="86">
        <f t="shared" si="3"/>
        <v>18365.5</v>
      </c>
      <c r="I8" s="86">
        <f t="shared" si="3"/>
        <v>18365.5</v>
      </c>
      <c r="J8" s="86">
        <f t="shared" si="3"/>
        <v>18365.5</v>
      </c>
      <c r="K8" s="86">
        <f t="shared" si="3"/>
        <v>18365.5</v>
      </c>
      <c r="L8" s="86">
        <f t="shared" si="3"/>
        <v>18365.5</v>
      </c>
      <c r="M8" s="86">
        <f t="shared" si="3"/>
        <v>18365.5</v>
      </c>
      <c r="N8" s="86">
        <f>SUM(N4:N7)</f>
        <v>350000</v>
      </c>
    </row>
    <row r="9" spans="1:14" hidden="1" x14ac:dyDescent="0.45">
      <c r="A9" s="87"/>
      <c r="N9" s="88">
        <f>N3-N8</f>
        <v>-50000</v>
      </c>
    </row>
    <row r="10" spans="1:14" x14ac:dyDescent="0.45">
      <c r="N10" s="117"/>
    </row>
    <row r="14" spans="1:14" x14ac:dyDescent="0.45">
      <c r="H14" s="78" t="s">
        <v>52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8"/>
  <sheetViews>
    <sheetView showGridLines="0" zoomScale="90" zoomScaleNormal="90" workbookViewId="0">
      <selection activeCell="A9" sqref="A9"/>
    </sheetView>
  </sheetViews>
  <sheetFormatPr defaultColWidth="9.15234375" defaultRowHeight="15.9" x14ac:dyDescent="0.45"/>
  <cols>
    <col min="1" max="1" width="51.15234375" style="78" bestFit="1" customWidth="1"/>
    <col min="2" max="11" width="12.3828125" style="78" hidden="1" customWidth="1"/>
    <col min="12" max="12" width="12.69140625" style="78" hidden="1" customWidth="1"/>
    <col min="13" max="13" width="12.3828125" style="78" hidden="1" customWidth="1"/>
    <col min="14" max="14" width="23.3828125" style="78" bestFit="1" customWidth="1"/>
    <col min="15" max="15" width="9.15234375" style="78"/>
    <col min="16" max="16" width="14" style="78" bestFit="1" customWidth="1"/>
    <col min="17" max="16384" width="9.15234375" style="78"/>
  </cols>
  <sheetData>
    <row r="1" spans="1:14" ht="16.3" thickBot="1" x14ac:dyDescent="0.5">
      <c r="A1" s="89" t="s">
        <v>53</v>
      </c>
      <c r="B1" s="97" t="s">
        <v>12</v>
      </c>
      <c r="C1" s="98" t="s">
        <v>13</v>
      </c>
      <c r="D1" s="98" t="s">
        <v>14</v>
      </c>
      <c r="E1" s="98" t="s">
        <v>15</v>
      </c>
      <c r="F1" s="98" t="s">
        <v>16</v>
      </c>
      <c r="G1" s="98" t="s">
        <v>17</v>
      </c>
      <c r="H1" s="98" t="s">
        <v>18</v>
      </c>
      <c r="I1" s="98" t="s">
        <v>19</v>
      </c>
      <c r="J1" s="98" t="s">
        <v>20</v>
      </c>
      <c r="K1" s="98" t="s">
        <v>21</v>
      </c>
      <c r="L1" s="98" t="s">
        <v>22</v>
      </c>
      <c r="M1" s="98" t="s">
        <v>23</v>
      </c>
      <c r="N1" s="75" t="s">
        <v>24</v>
      </c>
    </row>
    <row r="2" spans="1:14" x14ac:dyDescent="0.45">
      <c r="A2" s="147" t="s">
        <v>54</v>
      </c>
      <c r="B2" s="148">
        <f>250000/12</f>
        <v>20833.333333333332</v>
      </c>
      <c r="C2" s="148">
        <f>20833</f>
        <v>20833</v>
      </c>
      <c r="D2" s="148">
        <f>20833</f>
        <v>20833</v>
      </c>
      <c r="E2" s="148">
        <f>20833</f>
        <v>20833</v>
      </c>
      <c r="F2" s="148">
        <f>20833</f>
        <v>20833</v>
      </c>
      <c r="G2" s="148">
        <f>20833</f>
        <v>20833</v>
      </c>
      <c r="H2" s="148">
        <f>20833</f>
        <v>20833</v>
      </c>
      <c r="I2" s="148">
        <f>20833</f>
        <v>20833</v>
      </c>
      <c r="J2" s="148">
        <f>20834</f>
        <v>20834</v>
      </c>
      <c r="K2" s="148">
        <f>20834</f>
        <v>20834</v>
      </c>
      <c r="L2" s="148">
        <f>20834</f>
        <v>20834</v>
      </c>
      <c r="M2" s="148">
        <f>20834</f>
        <v>20834</v>
      </c>
      <c r="N2" s="81">
        <v>150000</v>
      </c>
    </row>
    <row r="3" spans="1:14" x14ac:dyDescent="0.45">
      <c r="A3" s="147" t="s">
        <v>41</v>
      </c>
      <c r="B3" s="84">
        <f>[1]Intäktsberäkning!D9</f>
        <v>4284009.7864711434</v>
      </c>
      <c r="C3" s="84">
        <v>286345</v>
      </c>
      <c r="D3" s="84">
        <v>286345</v>
      </c>
      <c r="E3" s="84">
        <v>286345</v>
      </c>
      <c r="F3" s="84">
        <v>286345</v>
      </c>
      <c r="G3" s="84">
        <v>286345</v>
      </c>
      <c r="H3" s="84">
        <v>286345</v>
      </c>
      <c r="I3" s="84">
        <v>286345</v>
      </c>
      <c r="J3" s="84">
        <v>286345</v>
      </c>
      <c r="K3" s="84">
        <v>286345</v>
      </c>
      <c r="L3" s="84">
        <v>286345</v>
      </c>
      <c r="M3" s="84">
        <v>286345</v>
      </c>
      <c r="N3" s="84">
        <f>[1]Intäktsberäkning!D9</f>
        <v>4284009.7864711434</v>
      </c>
    </row>
    <row r="4" spans="1:14" x14ac:dyDescent="0.45">
      <c r="A4" s="147" t="s">
        <v>55</v>
      </c>
      <c r="B4" s="84">
        <f>4717</f>
        <v>4717</v>
      </c>
      <c r="C4" s="84">
        <f>4717</f>
        <v>4717</v>
      </c>
      <c r="D4" s="84">
        <f>4717</f>
        <v>4717</v>
      </c>
      <c r="E4" s="84">
        <f>4717</f>
        <v>4717</v>
      </c>
      <c r="F4" s="84">
        <f>4717</f>
        <v>4717</v>
      </c>
      <c r="G4" s="84">
        <f>4717</f>
        <v>4717</v>
      </c>
      <c r="H4" s="84">
        <f>4717</f>
        <v>4717</v>
      </c>
      <c r="I4" s="84">
        <f>4717</f>
        <v>4717</v>
      </c>
      <c r="J4" s="84">
        <f>4717</f>
        <v>4717</v>
      </c>
      <c r="K4" s="84">
        <f>4717</f>
        <v>4717</v>
      </c>
      <c r="L4" s="84">
        <f>4717</f>
        <v>4717</v>
      </c>
      <c r="M4" s="84">
        <f>4717</f>
        <v>4717</v>
      </c>
      <c r="N4" s="84">
        <v>100000</v>
      </c>
    </row>
    <row r="5" spans="1:14" s="91" customFormat="1" x14ac:dyDescent="0.45">
      <c r="A5" s="147" t="s">
        <v>251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>
        <v>500000</v>
      </c>
    </row>
    <row r="6" spans="1:14" x14ac:dyDescent="0.45">
      <c r="A6" s="89" t="s">
        <v>26</v>
      </c>
      <c r="B6" s="86">
        <f t="shared" ref="B6:M6" si="0">SUM(B2:B4)</f>
        <v>4309560.1198044764</v>
      </c>
      <c r="C6" s="86">
        <f t="shared" si="0"/>
        <v>311895</v>
      </c>
      <c r="D6" s="86">
        <f t="shared" si="0"/>
        <v>311895</v>
      </c>
      <c r="E6" s="86">
        <f t="shared" si="0"/>
        <v>311895</v>
      </c>
      <c r="F6" s="86">
        <f t="shared" si="0"/>
        <v>311895</v>
      </c>
      <c r="G6" s="86">
        <f t="shared" si="0"/>
        <v>311895</v>
      </c>
      <c r="H6" s="86">
        <f t="shared" si="0"/>
        <v>311895</v>
      </c>
      <c r="I6" s="86">
        <f t="shared" si="0"/>
        <v>311895</v>
      </c>
      <c r="J6" s="86">
        <f t="shared" si="0"/>
        <v>311896</v>
      </c>
      <c r="K6" s="86">
        <f t="shared" si="0"/>
        <v>311896</v>
      </c>
      <c r="L6" s="86">
        <f t="shared" si="0"/>
        <v>311896</v>
      </c>
      <c r="M6" s="86">
        <f t="shared" si="0"/>
        <v>311896</v>
      </c>
      <c r="N6" s="86">
        <f>SUM(N2:N5)</f>
        <v>5034009.7864711434</v>
      </c>
    </row>
    <row r="7" spans="1:14" x14ac:dyDescent="0.45">
      <c r="A7" s="147" t="s">
        <v>250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29">
        <v>75000</v>
      </c>
    </row>
    <row r="8" spans="1:14" x14ac:dyDescent="0.45">
      <c r="A8" s="140" t="s">
        <v>56</v>
      </c>
      <c r="B8" s="129">
        <v>4167</v>
      </c>
      <c r="C8" s="129">
        <v>4167</v>
      </c>
      <c r="D8" s="129">
        <v>4167</v>
      </c>
      <c r="E8" s="129">
        <v>4167</v>
      </c>
      <c r="F8" s="129">
        <v>4167</v>
      </c>
      <c r="G8" s="129">
        <v>4167</v>
      </c>
      <c r="H8" s="129">
        <v>4167</v>
      </c>
      <c r="I8" s="129">
        <v>4167</v>
      </c>
      <c r="J8" s="129">
        <v>4167</v>
      </c>
      <c r="K8" s="129">
        <v>4167</v>
      </c>
      <c r="L8" s="129">
        <v>4167</v>
      </c>
      <c r="M8" s="129">
        <v>4163</v>
      </c>
      <c r="N8" s="129">
        <v>10000</v>
      </c>
    </row>
    <row r="9" spans="1:14" x14ac:dyDescent="0.45">
      <c r="A9" s="140" t="s">
        <v>57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29">
        <v>25000</v>
      </c>
    </row>
    <row r="10" spans="1:14" x14ac:dyDescent="0.45">
      <c r="A10" s="140" t="s">
        <v>58</v>
      </c>
      <c r="B10" s="129">
        <f>200000/12</f>
        <v>16666.666666666668</v>
      </c>
      <c r="C10" s="129">
        <f t="shared" ref="C10:M10" si="1">200000/12</f>
        <v>16666.666666666668</v>
      </c>
      <c r="D10" s="129">
        <f t="shared" si="1"/>
        <v>16666.666666666668</v>
      </c>
      <c r="E10" s="129">
        <f t="shared" si="1"/>
        <v>16666.666666666668</v>
      </c>
      <c r="F10" s="129">
        <f t="shared" si="1"/>
        <v>16666.666666666668</v>
      </c>
      <c r="G10" s="129">
        <f t="shared" si="1"/>
        <v>16666.666666666668</v>
      </c>
      <c r="H10" s="129">
        <f t="shared" si="1"/>
        <v>16666.666666666668</v>
      </c>
      <c r="I10" s="129">
        <f t="shared" si="1"/>
        <v>16666.666666666668</v>
      </c>
      <c r="J10" s="129">
        <f t="shared" si="1"/>
        <v>16666.666666666668</v>
      </c>
      <c r="K10" s="129">
        <f t="shared" si="1"/>
        <v>16666.666666666668</v>
      </c>
      <c r="L10" s="129">
        <f t="shared" si="1"/>
        <v>16666.666666666668</v>
      </c>
      <c r="M10" s="129">
        <f t="shared" si="1"/>
        <v>16666.666666666668</v>
      </c>
      <c r="N10" s="129">
        <v>25000</v>
      </c>
    </row>
    <row r="11" spans="1:14" x14ac:dyDescent="0.45">
      <c r="A11" s="140" t="s">
        <v>59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>
        <v>150000</v>
      </c>
    </row>
    <row r="12" spans="1:14" x14ac:dyDescent="0.45">
      <c r="A12" s="150" t="s">
        <v>27</v>
      </c>
      <c r="B12" s="129">
        <f>30000/12</f>
        <v>2500</v>
      </c>
      <c r="C12" s="129">
        <f t="shared" ref="C12:M12" si="2">30000/12</f>
        <v>2500</v>
      </c>
      <c r="D12" s="129">
        <f t="shared" si="2"/>
        <v>2500</v>
      </c>
      <c r="E12" s="129">
        <f t="shared" si="2"/>
        <v>2500</v>
      </c>
      <c r="F12" s="129">
        <f t="shared" si="2"/>
        <v>2500</v>
      </c>
      <c r="G12" s="129">
        <f t="shared" si="2"/>
        <v>2500</v>
      </c>
      <c r="H12" s="129">
        <f t="shared" si="2"/>
        <v>2500</v>
      </c>
      <c r="I12" s="129">
        <f t="shared" si="2"/>
        <v>2500</v>
      </c>
      <c r="J12" s="129">
        <f t="shared" si="2"/>
        <v>2500</v>
      </c>
      <c r="K12" s="129">
        <f t="shared" si="2"/>
        <v>2500</v>
      </c>
      <c r="L12" s="129">
        <f t="shared" si="2"/>
        <v>2500</v>
      </c>
      <c r="M12" s="129">
        <f t="shared" si="2"/>
        <v>2500</v>
      </c>
      <c r="N12" s="129">
        <v>30000</v>
      </c>
    </row>
    <row r="13" spans="1:14" x14ac:dyDescent="0.45">
      <c r="A13" s="150" t="s">
        <v>60</v>
      </c>
      <c r="B13" s="129">
        <v>4167</v>
      </c>
      <c r="C13" s="129">
        <v>4167</v>
      </c>
      <c r="D13" s="129">
        <v>4167</v>
      </c>
      <c r="E13" s="129">
        <v>4167</v>
      </c>
      <c r="F13" s="129">
        <v>4167</v>
      </c>
      <c r="G13" s="129">
        <v>4167</v>
      </c>
      <c r="H13" s="129">
        <v>4167</v>
      </c>
      <c r="I13" s="129">
        <v>4167</v>
      </c>
      <c r="J13" s="129">
        <v>4167</v>
      </c>
      <c r="K13" s="129">
        <v>4167</v>
      </c>
      <c r="L13" s="129">
        <v>4167</v>
      </c>
      <c r="M13" s="129">
        <v>4163</v>
      </c>
      <c r="N13" s="129">
        <v>0</v>
      </c>
    </row>
    <row r="14" spans="1:14" x14ac:dyDescent="0.45">
      <c r="A14" s="150" t="s">
        <v>61</v>
      </c>
      <c r="B14" s="114">
        <f>$N$14/12</f>
        <v>14583.333333333334</v>
      </c>
      <c r="C14" s="114">
        <f t="shared" ref="C14:M14" si="3">$N$14/12</f>
        <v>14583.333333333334</v>
      </c>
      <c r="D14" s="114">
        <f t="shared" si="3"/>
        <v>14583.333333333334</v>
      </c>
      <c r="E14" s="114">
        <f t="shared" si="3"/>
        <v>14583.333333333334</v>
      </c>
      <c r="F14" s="114">
        <f t="shared" si="3"/>
        <v>14583.333333333334</v>
      </c>
      <c r="G14" s="114">
        <f t="shared" si="3"/>
        <v>14583.333333333334</v>
      </c>
      <c r="H14" s="114">
        <f t="shared" si="3"/>
        <v>14583.333333333334</v>
      </c>
      <c r="I14" s="114">
        <f t="shared" si="3"/>
        <v>14583.333333333334</v>
      </c>
      <c r="J14" s="114">
        <f t="shared" si="3"/>
        <v>14583.333333333334</v>
      </c>
      <c r="K14" s="114">
        <f t="shared" si="3"/>
        <v>14583.333333333334</v>
      </c>
      <c r="L14" s="114">
        <f t="shared" si="3"/>
        <v>14583.333333333334</v>
      </c>
      <c r="M14" s="114">
        <f t="shared" si="3"/>
        <v>14583.333333333334</v>
      </c>
      <c r="N14" s="129">
        <v>175000</v>
      </c>
    </row>
    <row r="15" spans="1:14" x14ac:dyDescent="0.45">
      <c r="A15" s="150" t="s">
        <v>62</v>
      </c>
      <c r="B15" s="129">
        <v>7200</v>
      </c>
      <c r="C15" s="129">
        <v>7200</v>
      </c>
      <c r="D15" s="129">
        <v>7200</v>
      </c>
      <c r="E15" s="129">
        <v>7200</v>
      </c>
      <c r="F15" s="129">
        <v>7200</v>
      </c>
      <c r="G15" s="129">
        <v>7200</v>
      </c>
      <c r="H15" s="129">
        <v>7200</v>
      </c>
      <c r="I15" s="129">
        <v>7200</v>
      </c>
      <c r="J15" s="129">
        <v>7200</v>
      </c>
      <c r="K15" s="129">
        <v>7200</v>
      </c>
      <c r="L15" s="129">
        <v>7200</v>
      </c>
      <c r="M15" s="129">
        <v>7200</v>
      </c>
      <c r="N15" s="129">
        <f>82000+86400</f>
        <v>168400</v>
      </c>
    </row>
    <row r="16" spans="1:14" x14ac:dyDescent="0.45">
      <c r="A16" s="150" t="s">
        <v>31</v>
      </c>
      <c r="B16" s="129">
        <f>100000/12</f>
        <v>8333.3333333333339</v>
      </c>
      <c r="C16" s="129">
        <f t="shared" ref="C16:M16" si="4">100000/12</f>
        <v>8333.3333333333339</v>
      </c>
      <c r="D16" s="129">
        <f t="shared" si="4"/>
        <v>8333.3333333333339</v>
      </c>
      <c r="E16" s="129">
        <f t="shared" si="4"/>
        <v>8333.3333333333339</v>
      </c>
      <c r="F16" s="129">
        <f t="shared" si="4"/>
        <v>8333.3333333333339</v>
      </c>
      <c r="G16" s="129">
        <f t="shared" si="4"/>
        <v>8333.3333333333339</v>
      </c>
      <c r="H16" s="129">
        <f t="shared" si="4"/>
        <v>8333.3333333333339</v>
      </c>
      <c r="I16" s="129">
        <f t="shared" si="4"/>
        <v>8333.3333333333339</v>
      </c>
      <c r="J16" s="129">
        <f t="shared" si="4"/>
        <v>8333.3333333333339</v>
      </c>
      <c r="K16" s="129">
        <f t="shared" si="4"/>
        <v>8333.3333333333339</v>
      </c>
      <c r="L16" s="129">
        <f t="shared" si="4"/>
        <v>8333.3333333333339</v>
      </c>
      <c r="M16" s="129">
        <f t="shared" si="4"/>
        <v>8333.3333333333339</v>
      </c>
      <c r="N16" s="129">
        <v>25000</v>
      </c>
    </row>
    <row r="17" spans="1:16" x14ac:dyDescent="0.45">
      <c r="A17" s="140" t="s">
        <v>36</v>
      </c>
      <c r="B17" s="129">
        <f>[1]Personalbudget!Q31/12</f>
        <v>384949.50817499991</v>
      </c>
      <c r="C17" s="129">
        <f>[1]Personalbudget!Q31/12</f>
        <v>384949.50817499991</v>
      </c>
      <c r="D17" s="129">
        <f>[1]Personalbudget!Q31/12</f>
        <v>384949.50817499991</v>
      </c>
      <c r="E17" s="129">
        <f>[1]Personalbudget!Q31/12</f>
        <v>384949.50817499991</v>
      </c>
      <c r="F17" s="129">
        <f>[1]Personalbudget!Q31/12</f>
        <v>384949.50817499991</v>
      </c>
      <c r="G17" s="129">
        <f>[1]Personalbudget!Q31/12</f>
        <v>384949.50817499991</v>
      </c>
      <c r="H17" s="129">
        <f>[1]Personalbudget!Q31/12</f>
        <v>384949.50817499991</v>
      </c>
      <c r="I17" s="129">
        <f>[1]Personalbudget!Q31/12</f>
        <v>384949.50817499991</v>
      </c>
      <c r="J17" s="129">
        <f>[1]Personalbudget!Q31/12</f>
        <v>384949.50817499991</v>
      </c>
      <c r="K17" s="129">
        <f>[1]Personalbudget!Q31/12</f>
        <v>384949.50817499991</v>
      </c>
      <c r="L17" s="129">
        <f>[1]Personalbudget!Q31/12</f>
        <v>384949.50817499991</v>
      </c>
      <c r="M17" s="129">
        <f>[1]Personalbudget!Q31/12</f>
        <v>384949.50817499991</v>
      </c>
      <c r="N17" s="129">
        <f>[1]Personalbudget!Q31</f>
        <v>4619394.0980999991</v>
      </c>
      <c r="P17" s="102"/>
    </row>
    <row r="18" spans="1:16" x14ac:dyDescent="0.45">
      <c r="A18" s="140" t="s">
        <v>63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3">
        <v>75000</v>
      </c>
    </row>
    <row r="19" spans="1:16" ht="16.3" thickBot="1" x14ac:dyDescent="0.5">
      <c r="A19" s="99" t="s">
        <v>34</v>
      </c>
      <c r="B19" s="100">
        <f t="shared" ref="B19:M19" si="5">SUM(B8:B17)</f>
        <v>442566.84150833322</v>
      </c>
      <c r="C19" s="100">
        <f t="shared" si="5"/>
        <v>442566.84150833322</v>
      </c>
      <c r="D19" s="100">
        <f t="shared" si="5"/>
        <v>442566.84150833322</v>
      </c>
      <c r="E19" s="100">
        <f t="shared" si="5"/>
        <v>442566.84150833322</v>
      </c>
      <c r="F19" s="100">
        <f t="shared" si="5"/>
        <v>442566.84150833322</v>
      </c>
      <c r="G19" s="100">
        <f t="shared" si="5"/>
        <v>442566.84150833322</v>
      </c>
      <c r="H19" s="100">
        <f t="shared" si="5"/>
        <v>442566.84150833322</v>
      </c>
      <c r="I19" s="100">
        <f t="shared" si="5"/>
        <v>442566.84150833322</v>
      </c>
      <c r="J19" s="100">
        <f t="shared" si="5"/>
        <v>442566.84150833322</v>
      </c>
      <c r="K19" s="100">
        <f t="shared" si="5"/>
        <v>442566.84150833322</v>
      </c>
      <c r="L19" s="100">
        <f t="shared" si="5"/>
        <v>442566.84150833322</v>
      </c>
      <c r="M19" s="100">
        <f t="shared" si="5"/>
        <v>442558.84150833322</v>
      </c>
      <c r="N19" s="101">
        <f>SUM(N7:N18)</f>
        <v>5377794.0980999991</v>
      </c>
    </row>
    <row r="20" spans="1:16" x14ac:dyDescent="0.45">
      <c r="A20" s="88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88"/>
    </row>
    <row r="21" spans="1:16" x14ac:dyDescent="0.45">
      <c r="A21" s="103"/>
    </row>
    <row r="22" spans="1:16" x14ac:dyDescent="0.45">
      <c r="A22" s="103"/>
      <c r="B22" s="104"/>
      <c r="C22" s="105"/>
      <c r="D22" s="106"/>
      <c r="E22" s="70"/>
    </row>
    <row r="23" spans="1:16" x14ac:dyDescent="0.45">
      <c r="A23" s="103"/>
      <c r="B23" s="104"/>
      <c r="C23" s="105"/>
      <c r="D23" s="106"/>
      <c r="E23" s="70"/>
    </row>
    <row r="24" spans="1:16" x14ac:dyDescent="0.45">
      <c r="A24" s="103"/>
      <c r="B24" s="104"/>
      <c r="C24" s="105"/>
      <c r="D24" s="107"/>
      <c r="E24" s="70"/>
    </row>
    <row r="25" spans="1:16" x14ac:dyDescent="0.45">
      <c r="A25" s="103"/>
      <c r="B25" s="104"/>
      <c r="C25" s="105"/>
      <c r="D25" s="107"/>
      <c r="E25" s="70"/>
    </row>
    <row r="26" spans="1:16" x14ac:dyDescent="0.45">
      <c r="B26" s="104"/>
      <c r="C26" s="104"/>
      <c r="D26" s="107"/>
      <c r="E26" s="70"/>
    </row>
    <row r="27" spans="1:16" x14ac:dyDescent="0.45">
      <c r="B27" s="104"/>
      <c r="C27" s="104"/>
      <c r="D27" s="107"/>
      <c r="E27" s="70"/>
    </row>
    <row r="28" spans="1:16" x14ac:dyDescent="0.45">
      <c r="E28" s="7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60"/>
  <sheetViews>
    <sheetView showGridLines="0" zoomScale="90" zoomScaleNormal="90" workbookViewId="0">
      <selection activeCell="Q6" sqref="Q6"/>
    </sheetView>
  </sheetViews>
  <sheetFormatPr defaultColWidth="9.15234375" defaultRowHeight="15.9" x14ac:dyDescent="0.45"/>
  <cols>
    <col min="1" max="1" width="46.69140625" style="78" customWidth="1"/>
    <col min="2" max="9" width="12.3828125" style="78" hidden="1" customWidth="1"/>
    <col min="10" max="10" width="12.3046875" style="78" hidden="1" customWidth="1"/>
    <col min="11" max="11" width="12.3828125" style="78" hidden="1" customWidth="1"/>
    <col min="12" max="12" width="12.69140625" style="78" hidden="1" customWidth="1"/>
    <col min="13" max="13" width="12.3828125" style="78" hidden="1" customWidth="1"/>
    <col min="14" max="14" width="21.84375" style="78" bestFit="1" customWidth="1"/>
    <col min="15" max="15" width="4.69140625" style="78" customWidth="1"/>
    <col min="16" max="16" width="12.15234375" style="78" bestFit="1" customWidth="1"/>
    <col min="17" max="17" width="12.3046875" style="78" bestFit="1" customWidth="1"/>
    <col min="18" max="16384" width="9.15234375" style="78"/>
  </cols>
  <sheetData>
    <row r="1" spans="1:14" x14ac:dyDescent="0.45">
      <c r="A1" s="89" t="s">
        <v>64</v>
      </c>
      <c r="B1" s="75" t="s">
        <v>12</v>
      </c>
      <c r="C1" s="75" t="s">
        <v>13</v>
      </c>
      <c r="D1" s="75" t="s">
        <v>14</v>
      </c>
      <c r="E1" s="75" t="s">
        <v>15</v>
      </c>
      <c r="F1" s="75" t="s">
        <v>16</v>
      </c>
      <c r="G1" s="75" t="s">
        <v>17</v>
      </c>
      <c r="H1" s="75" t="s">
        <v>18</v>
      </c>
      <c r="I1" s="75" t="s">
        <v>19</v>
      </c>
      <c r="J1" s="75" t="s">
        <v>20</v>
      </c>
      <c r="K1" s="75" t="s">
        <v>21</v>
      </c>
      <c r="L1" s="75" t="s">
        <v>22</v>
      </c>
      <c r="M1" s="75" t="s">
        <v>23</v>
      </c>
      <c r="N1" s="75" t="s">
        <v>24</v>
      </c>
    </row>
    <row r="2" spans="1:14" x14ac:dyDescent="0.45">
      <c r="A2" s="147" t="s">
        <v>65</v>
      </c>
      <c r="B2" s="84">
        <f>3697</f>
        <v>3697</v>
      </c>
      <c r="C2" s="84">
        <f>3697</f>
        <v>3697</v>
      </c>
      <c r="D2" s="84">
        <f>3697</f>
        <v>3697</v>
      </c>
      <c r="E2" s="84">
        <f>3697</f>
        <v>3697</v>
      </c>
      <c r="F2" s="84">
        <f>3697</f>
        <v>3697</v>
      </c>
      <c r="G2" s="84">
        <f>3697</f>
        <v>3697</v>
      </c>
      <c r="H2" s="84">
        <f>3697</f>
        <v>3697</v>
      </c>
      <c r="I2" s="84">
        <f>3697</f>
        <v>3697</v>
      </c>
      <c r="J2" s="84">
        <f>3697</f>
        <v>3697</v>
      </c>
      <c r="K2" s="84">
        <f>3697</f>
        <v>3697</v>
      </c>
      <c r="L2" s="84">
        <f>3697</f>
        <v>3697</v>
      </c>
      <c r="M2" s="84">
        <f>3697</f>
        <v>3697</v>
      </c>
      <c r="N2" s="84">
        <v>44364</v>
      </c>
    </row>
    <row r="3" spans="1:14" x14ac:dyDescent="0.45">
      <c r="A3" s="90" t="s">
        <v>25</v>
      </c>
      <c r="B3" s="84">
        <f>[1]Intäktsberäkning!D10</f>
        <v>2889684.2135288566</v>
      </c>
      <c r="C3" s="84">
        <v>295178</v>
      </c>
      <c r="D3" s="84">
        <v>295178</v>
      </c>
      <c r="E3" s="84">
        <v>295178</v>
      </c>
      <c r="F3" s="84">
        <v>295178</v>
      </c>
      <c r="G3" s="84">
        <v>295178</v>
      </c>
      <c r="H3" s="84">
        <v>295178</v>
      </c>
      <c r="I3" s="84">
        <v>295178</v>
      </c>
      <c r="J3" s="84">
        <v>295178</v>
      </c>
      <c r="K3" s="84">
        <v>295178</v>
      </c>
      <c r="L3" s="84">
        <v>295178</v>
      </c>
      <c r="M3" s="84">
        <v>295178</v>
      </c>
      <c r="N3" s="84">
        <f>[1]Intäktsberäkning!D10</f>
        <v>2889684.2135288566</v>
      </c>
    </row>
    <row r="4" spans="1:14" x14ac:dyDescent="0.45">
      <c r="A4" s="90" t="s">
        <v>252</v>
      </c>
      <c r="B4" s="84">
        <f>35000/12</f>
        <v>2916.6666666666665</v>
      </c>
      <c r="C4" s="84">
        <v>2917</v>
      </c>
      <c r="D4" s="84">
        <v>2917</v>
      </c>
      <c r="E4" s="84">
        <v>2917</v>
      </c>
      <c r="F4" s="84">
        <v>2917</v>
      </c>
      <c r="G4" s="84">
        <v>2917</v>
      </c>
      <c r="H4" s="84">
        <v>2917</v>
      </c>
      <c r="I4" s="84">
        <v>2917</v>
      </c>
      <c r="J4" s="84">
        <v>2916</v>
      </c>
      <c r="K4" s="84">
        <v>2916</v>
      </c>
      <c r="L4" s="84">
        <v>2916</v>
      </c>
      <c r="M4" s="84">
        <v>2916</v>
      </c>
      <c r="N4" s="84">
        <v>35000</v>
      </c>
    </row>
    <row r="5" spans="1:14" s="91" customFormat="1" x14ac:dyDescent="0.45">
      <c r="A5" s="89" t="s">
        <v>26</v>
      </c>
      <c r="B5" s="86">
        <f t="shared" ref="B5:M5" si="0">SUM(B2:B4)</f>
        <v>2896297.8801955231</v>
      </c>
      <c r="C5" s="86">
        <f t="shared" si="0"/>
        <v>301792</v>
      </c>
      <c r="D5" s="86">
        <f t="shared" si="0"/>
        <v>301792</v>
      </c>
      <c r="E5" s="86">
        <f t="shared" si="0"/>
        <v>301792</v>
      </c>
      <c r="F5" s="86">
        <f t="shared" si="0"/>
        <v>301792</v>
      </c>
      <c r="G5" s="86">
        <f t="shared" si="0"/>
        <v>301792</v>
      </c>
      <c r="H5" s="86">
        <f t="shared" si="0"/>
        <v>301792</v>
      </c>
      <c r="I5" s="86">
        <f t="shared" si="0"/>
        <v>301792</v>
      </c>
      <c r="J5" s="86">
        <f t="shared" si="0"/>
        <v>301791</v>
      </c>
      <c r="K5" s="86">
        <f t="shared" si="0"/>
        <v>301791</v>
      </c>
      <c r="L5" s="86">
        <f t="shared" si="0"/>
        <v>301791</v>
      </c>
      <c r="M5" s="86">
        <f t="shared" si="0"/>
        <v>301791</v>
      </c>
      <c r="N5" s="86">
        <f>SUM(N2:N4)</f>
        <v>2969048.2135288566</v>
      </c>
    </row>
    <row r="6" spans="1:14" s="91" customFormat="1" x14ac:dyDescent="0.45">
      <c r="A6" s="140" t="s">
        <v>66</v>
      </c>
      <c r="B6" s="114">
        <f>[1]Spec.lokal!$D$45/12</f>
        <v>0</v>
      </c>
      <c r="C6" s="114">
        <f>[1]Spec.lokal!$D$45/12</f>
        <v>0</v>
      </c>
      <c r="D6" s="114">
        <f>[1]Spec.lokal!$D$45/12</f>
        <v>0</v>
      </c>
      <c r="E6" s="114">
        <f>[1]Spec.lokal!$D$45/12</f>
        <v>0</v>
      </c>
      <c r="F6" s="114">
        <f>[1]Spec.lokal!$D$45/12</f>
        <v>0</v>
      </c>
      <c r="G6" s="114">
        <f>[1]Spec.lokal!$D$45/12</f>
        <v>0</v>
      </c>
      <c r="H6" s="114">
        <f>[1]Spec.lokal!$D$45/12</f>
        <v>0</v>
      </c>
      <c r="I6" s="114">
        <f>[1]Spec.lokal!$D$45/12</f>
        <v>0</v>
      </c>
      <c r="J6" s="114">
        <f>[1]Spec.lokal!$D$45/12</f>
        <v>0</v>
      </c>
      <c r="K6" s="114">
        <f>[1]Spec.lokal!$D$45/12</f>
        <v>0</v>
      </c>
      <c r="L6" s="114">
        <f>[1]Spec.lokal!$D$45/12</f>
        <v>0</v>
      </c>
      <c r="M6" s="114">
        <f>[1]Spec.lokal!$D$45/12</f>
        <v>0</v>
      </c>
      <c r="N6" s="129">
        <v>954000</v>
      </c>
    </row>
    <row r="7" spans="1:14" x14ac:dyDescent="0.45">
      <c r="A7" s="140" t="s">
        <v>67</v>
      </c>
      <c r="B7" s="114">
        <f>20000/12</f>
        <v>1666.6666666666667</v>
      </c>
      <c r="C7" s="114">
        <f t="shared" ref="C7:M7" si="1">20000/12</f>
        <v>1666.6666666666667</v>
      </c>
      <c r="D7" s="114">
        <f t="shared" si="1"/>
        <v>1666.6666666666667</v>
      </c>
      <c r="E7" s="114">
        <f t="shared" si="1"/>
        <v>1666.6666666666667</v>
      </c>
      <c r="F7" s="114">
        <f t="shared" si="1"/>
        <v>1666.6666666666667</v>
      </c>
      <c r="G7" s="114">
        <f t="shared" si="1"/>
        <v>1666.6666666666667</v>
      </c>
      <c r="H7" s="114">
        <f t="shared" si="1"/>
        <v>1666.6666666666667</v>
      </c>
      <c r="I7" s="114">
        <f t="shared" si="1"/>
        <v>1666.6666666666667</v>
      </c>
      <c r="J7" s="114">
        <f t="shared" si="1"/>
        <v>1666.6666666666667</v>
      </c>
      <c r="K7" s="114">
        <f t="shared" si="1"/>
        <v>1666.6666666666667</v>
      </c>
      <c r="L7" s="114">
        <f t="shared" si="1"/>
        <v>1666.6666666666667</v>
      </c>
      <c r="M7" s="114">
        <f t="shared" si="1"/>
        <v>1666.6666666666667</v>
      </c>
      <c r="N7" s="129">
        <v>25000</v>
      </c>
    </row>
    <row r="8" spans="1:14" x14ac:dyDescent="0.45">
      <c r="A8" s="140" t="s">
        <v>68</v>
      </c>
      <c r="B8" s="129">
        <v>8333</v>
      </c>
      <c r="C8" s="129">
        <v>8333</v>
      </c>
      <c r="D8" s="129">
        <v>8333</v>
      </c>
      <c r="E8" s="129">
        <v>8333</v>
      </c>
      <c r="F8" s="129">
        <v>8333</v>
      </c>
      <c r="G8" s="129">
        <v>8333</v>
      </c>
      <c r="H8" s="129">
        <v>8333</v>
      </c>
      <c r="I8" s="129">
        <v>8333</v>
      </c>
      <c r="J8" s="129">
        <v>8333</v>
      </c>
      <c r="K8" s="129">
        <v>8333</v>
      </c>
      <c r="L8" s="129">
        <v>8333</v>
      </c>
      <c r="M8" s="129">
        <v>8337</v>
      </c>
      <c r="N8" s="129">
        <v>90000</v>
      </c>
    </row>
    <row r="9" spans="1:14" x14ac:dyDescent="0.45">
      <c r="A9" s="140" t="s">
        <v>69</v>
      </c>
      <c r="B9" s="129">
        <f>[1]Spec.!G15/12</f>
        <v>8366.6666666666661</v>
      </c>
      <c r="C9" s="129">
        <v>8367</v>
      </c>
      <c r="D9" s="129">
        <v>8367</v>
      </c>
      <c r="E9" s="129">
        <v>8367</v>
      </c>
      <c r="F9" s="129">
        <v>8367</v>
      </c>
      <c r="G9" s="129">
        <v>8367</v>
      </c>
      <c r="H9" s="129">
        <v>8367</v>
      </c>
      <c r="I9" s="129">
        <v>8367</v>
      </c>
      <c r="J9" s="129">
        <v>8367</v>
      </c>
      <c r="K9" s="129">
        <v>8367</v>
      </c>
      <c r="L9" s="129">
        <v>8367</v>
      </c>
      <c r="M9" s="129">
        <v>8363</v>
      </c>
      <c r="N9" s="129">
        <v>200000</v>
      </c>
    </row>
    <row r="10" spans="1:14" x14ac:dyDescent="0.45">
      <c r="A10" s="140" t="s">
        <v>70</v>
      </c>
      <c r="B10" s="129">
        <f>50000/12</f>
        <v>4166.666666666667</v>
      </c>
      <c r="C10" s="129">
        <f t="shared" ref="C10:M10" si="2">50000/12</f>
        <v>4166.666666666667</v>
      </c>
      <c r="D10" s="129">
        <f t="shared" si="2"/>
        <v>4166.666666666667</v>
      </c>
      <c r="E10" s="129">
        <f t="shared" si="2"/>
        <v>4166.666666666667</v>
      </c>
      <c r="F10" s="129">
        <f t="shared" si="2"/>
        <v>4166.666666666667</v>
      </c>
      <c r="G10" s="129">
        <f t="shared" si="2"/>
        <v>4166.666666666667</v>
      </c>
      <c r="H10" s="129">
        <f t="shared" si="2"/>
        <v>4166.666666666667</v>
      </c>
      <c r="I10" s="129">
        <f t="shared" si="2"/>
        <v>4166.666666666667</v>
      </c>
      <c r="J10" s="129">
        <f t="shared" si="2"/>
        <v>4166.666666666667</v>
      </c>
      <c r="K10" s="129">
        <f t="shared" si="2"/>
        <v>4166.666666666667</v>
      </c>
      <c r="L10" s="129">
        <f t="shared" si="2"/>
        <v>4166.666666666667</v>
      </c>
      <c r="M10" s="129">
        <f t="shared" si="2"/>
        <v>4166.666666666667</v>
      </c>
      <c r="N10" s="129">
        <v>75000</v>
      </c>
    </row>
    <row r="11" spans="1:14" x14ac:dyDescent="0.45">
      <c r="A11" s="140" t="s">
        <v>71</v>
      </c>
      <c r="B11" s="129">
        <f>30000/12</f>
        <v>2500</v>
      </c>
      <c r="C11" s="129">
        <f t="shared" ref="C11:M11" si="3">30000/12</f>
        <v>2500</v>
      </c>
      <c r="D11" s="129">
        <f t="shared" si="3"/>
        <v>2500</v>
      </c>
      <c r="E11" s="129">
        <f t="shared" si="3"/>
        <v>2500</v>
      </c>
      <c r="F11" s="129">
        <f t="shared" si="3"/>
        <v>2500</v>
      </c>
      <c r="G11" s="129">
        <f t="shared" si="3"/>
        <v>2500</v>
      </c>
      <c r="H11" s="129">
        <f t="shared" si="3"/>
        <v>2500</v>
      </c>
      <c r="I11" s="129">
        <f t="shared" si="3"/>
        <v>2500</v>
      </c>
      <c r="J11" s="129">
        <f t="shared" si="3"/>
        <v>2500</v>
      </c>
      <c r="K11" s="129">
        <f t="shared" si="3"/>
        <v>2500</v>
      </c>
      <c r="L11" s="129">
        <f t="shared" si="3"/>
        <v>2500</v>
      </c>
      <c r="M11" s="129">
        <f t="shared" si="3"/>
        <v>2500</v>
      </c>
      <c r="N11" s="129">
        <v>200000</v>
      </c>
    </row>
    <row r="12" spans="1:14" x14ac:dyDescent="0.45">
      <c r="A12" s="140" t="s">
        <v>72</v>
      </c>
      <c r="B12" s="129">
        <f>30000/12</f>
        <v>2500</v>
      </c>
      <c r="C12" s="129">
        <f>2500</f>
        <v>2500</v>
      </c>
      <c r="D12" s="129">
        <f>2500</f>
        <v>2500</v>
      </c>
      <c r="E12" s="129">
        <f>2500</f>
        <v>2500</v>
      </c>
      <c r="F12" s="129">
        <f>2500</f>
        <v>2500</v>
      </c>
      <c r="G12" s="129">
        <f>2500</f>
        <v>2500</v>
      </c>
      <c r="H12" s="129">
        <f>2500</f>
        <v>2500</v>
      </c>
      <c r="I12" s="129">
        <f>2500</f>
        <v>2500</v>
      </c>
      <c r="J12" s="129">
        <f>2500</f>
        <v>2500</v>
      </c>
      <c r="K12" s="129">
        <f>2500</f>
        <v>2500</v>
      </c>
      <c r="L12" s="129">
        <f>2500</f>
        <v>2500</v>
      </c>
      <c r="M12" s="129">
        <f>2500</f>
        <v>2500</v>
      </c>
      <c r="N12" s="129">
        <v>20000</v>
      </c>
    </row>
    <row r="13" spans="1:14" x14ac:dyDescent="0.45">
      <c r="A13" s="140" t="s">
        <v>73</v>
      </c>
      <c r="B13" s="129">
        <v>4167</v>
      </c>
      <c r="C13" s="129">
        <v>4167</v>
      </c>
      <c r="D13" s="129">
        <v>4167</v>
      </c>
      <c r="E13" s="129">
        <v>4167</v>
      </c>
      <c r="F13" s="129">
        <v>4167</v>
      </c>
      <c r="G13" s="129">
        <v>4167</v>
      </c>
      <c r="H13" s="129">
        <v>4167</v>
      </c>
      <c r="I13" s="129">
        <v>4167</v>
      </c>
      <c r="J13" s="129">
        <v>4167</v>
      </c>
      <c r="K13" s="129">
        <v>4167</v>
      </c>
      <c r="L13" s="129">
        <v>4167</v>
      </c>
      <c r="M13" s="129">
        <v>4163</v>
      </c>
      <c r="N13" s="129">
        <v>100000</v>
      </c>
    </row>
    <row r="14" spans="1:14" x14ac:dyDescent="0.45">
      <c r="A14" s="140" t="s">
        <v>74</v>
      </c>
      <c r="B14" s="129">
        <f>$N$14/12</f>
        <v>833.33333333333337</v>
      </c>
      <c r="C14" s="129">
        <f t="shared" ref="C14:M14" si="4">$N$14/12</f>
        <v>833.33333333333337</v>
      </c>
      <c r="D14" s="129">
        <f t="shared" si="4"/>
        <v>833.33333333333337</v>
      </c>
      <c r="E14" s="129">
        <f t="shared" si="4"/>
        <v>833.33333333333337</v>
      </c>
      <c r="F14" s="129">
        <f t="shared" si="4"/>
        <v>833.33333333333337</v>
      </c>
      <c r="G14" s="129">
        <f t="shared" si="4"/>
        <v>833.33333333333337</v>
      </c>
      <c r="H14" s="129">
        <f t="shared" si="4"/>
        <v>833.33333333333337</v>
      </c>
      <c r="I14" s="129">
        <f t="shared" si="4"/>
        <v>833.33333333333337</v>
      </c>
      <c r="J14" s="129">
        <f t="shared" si="4"/>
        <v>833.33333333333337</v>
      </c>
      <c r="K14" s="129">
        <f t="shared" si="4"/>
        <v>833.33333333333337</v>
      </c>
      <c r="L14" s="129">
        <f t="shared" si="4"/>
        <v>833.33333333333337</v>
      </c>
      <c r="M14" s="129">
        <f t="shared" si="4"/>
        <v>833.33333333333337</v>
      </c>
      <c r="N14" s="129">
        <v>10000</v>
      </c>
    </row>
    <row r="15" spans="1:14" x14ac:dyDescent="0.45">
      <c r="A15" s="150" t="s">
        <v>75</v>
      </c>
      <c r="B15" s="129">
        <f>40000/12</f>
        <v>3333.3333333333335</v>
      </c>
      <c r="C15" s="129">
        <f t="shared" ref="C15:M15" si="5">40000/12</f>
        <v>3333.3333333333335</v>
      </c>
      <c r="D15" s="129">
        <f t="shared" si="5"/>
        <v>3333.3333333333335</v>
      </c>
      <c r="E15" s="129">
        <f t="shared" si="5"/>
        <v>3333.3333333333335</v>
      </c>
      <c r="F15" s="129">
        <f t="shared" si="5"/>
        <v>3333.3333333333335</v>
      </c>
      <c r="G15" s="129">
        <f t="shared" si="5"/>
        <v>3333.3333333333335</v>
      </c>
      <c r="H15" s="129">
        <f t="shared" si="5"/>
        <v>3333.3333333333335</v>
      </c>
      <c r="I15" s="129">
        <f t="shared" si="5"/>
        <v>3333.3333333333335</v>
      </c>
      <c r="J15" s="129">
        <f t="shared" si="5"/>
        <v>3333.3333333333335</v>
      </c>
      <c r="K15" s="129">
        <f t="shared" si="5"/>
        <v>3333.3333333333335</v>
      </c>
      <c r="L15" s="129">
        <f t="shared" si="5"/>
        <v>3333.3333333333335</v>
      </c>
      <c r="M15" s="129">
        <f t="shared" si="5"/>
        <v>3333.3333333333335</v>
      </c>
      <c r="N15" s="129">
        <v>50000</v>
      </c>
    </row>
    <row r="16" spans="1:14" x14ac:dyDescent="0.45">
      <c r="A16" s="150" t="s">
        <v>76</v>
      </c>
      <c r="B16" s="129">
        <f>10000/12</f>
        <v>833.33333333333337</v>
      </c>
      <c r="C16" s="129">
        <f t="shared" ref="C16:M16" si="6">10000/12</f>
        <v>833.33333333333337</v>
      </c>
      <c r="D16" s="129">
        <f t="shared" si="6"/>
        <v>833.33333333333337</v>
      </c>
      <c r="E16" s="129">
        <f t="shared" si="6"/>
        <v>833.33333333333337</v>
      </c>
      <c r="F16" s="129">
        <f t="shared" si="6"/>
        <v>833.33333333333337</v>
      </c>
      <c r="G16" s="129">
        <f t="shared" si="6"/>
        <v>833.33333333333337</v>
      </c>
      <c r="H16" s="129">
        <f t="shared" si="6"/>
        <v>833.33333333333337</v>
      </c>
      <c r="I16" s="129">
        <f t="shared" si="6"/>
        <v>833.33333333333337</v>
      </c>
      <c r="J16" s="129">
        <f t="shared" si="6"/>
        <v>833.33333333333337</v>
      </c>
      <c r="K16" s="129">
        <f t="shared" si="6"/>
        <v>833.33333333333337</v>
      </c>
      <c r="L16" s="129">
        <f t="shared" si="6"/>
        <v>833.33333333333337</v>
      </c>
      <c r="M16" s="129">
        <f t="shared" si="6"/>
        <v>833.33333333333337</v>
      </c>
      <c r="N16" s="129">
        <v>10000</v>
      </c>
    </row>
    <row r="17" spans="1:16" x14ac:dyDescent="0.45">
      <c r="A17" s="140" t="s">
        <v>77</v>
      </c>
      <c r="B17" s="129">
        <f>80000/12</f>
        <v>6666.666666666667</v>
      </c>
      <c r="C17" s="129">
        <f t="shared" ref="C17:M17" si="7">80000/12</f>
        <v>6666.666666666667</v>
      </c>
      <c r="D17" s="129">
        <f t="shared" si="7"/>
        <v>6666.666666666667</v>
      </c>
      <c r="E17" s="129">
        <f t="shared" si="7"/>
        <v>6666.666666666667</v>
      </c>
      <c r="F17" s="129">
        <f t="shared" si="7"/>
        <v>6666.666666666667</v>
      </c>
      <c r="G17" s="129">
        <f t="shared" si="7"/>
        <v>6666.666666666667</v>
      </c>
      <c r="H17" s="129">
        <f t="shared" si="7"/>
        <v>6666.666666666667</v>
      </c>
      <c r="I17" s="129">
        <f t="shared" si="7"/>
        <v>6666.666666666667</v>
      </c>
      <c r="J17" s="129">
        <f t="shared" si="7"/>
        <v>6666.666666666667</v>
      </c>
      <c r="K17" s="129">
        <f t="shared" si="7"/>
        <v>6666.666666666667</v>
      </c>
      <c r="L17" s="129">
        <f t="shared" si="7"/>
        <v>6666.666666666667</v>
      </c>
      <c r="M17" s="129">
        <f t="shared" si="7"/>
        <v>6666.666666666667</v>
      </c>
      <c r="N17" s="129">
        <v>50000</v>
      </c>
    </row>
    <row r="18" spans="1:16" x14ac:dyDescent="0.45">
      <c r="A18" s="140" t="s">
        <v>78</v>
      </c>
      <c r="B18" s="129">
        <v>12500</v>
      </c>
      <c r="C18" s="129">
        <v>12500</v>
      </c>
      <c r="D18" s="129">
        <v>12500</v>
      </c>
      <c r="E18" s="129">
        <v>12500</v>
      </c>
      <c r="F18" s="129">
        <v>12500</v>
      </c>
      <c r="G18" s="129">
        <v>12500</v>
      </c>
      <c r="H18" s="129">
        <v>12500</v>
      </c>
      <c r="I18" s="129">
        <v>12500</v>
      </c>
      <c r="J18" s="129">
        <v>12500</v>
      </c>
      <c r="K18" s="129">
        <v>12500</v>
      </c>
      <c r="L18" s="129">
        <v>12500</v>
      </c>
      <c r="M18" s="129">
        <v>12500</v>
      </c>
      <c r="N18" s="129">
        <v>150000</v>
      </c>
    </row>
    <row r="19" spans="1:16" x14ac:dyDescent="0.45">
      <c r="A19" s="140" t="s">
        <v>79</v>
      </c>
      <c r="B19" s="129">
        <v>400</v>
      </c>
      <c r="C19" s="129">
        <v>400</v>
      </c>
      <c r="D19" s="129">
        <v>400</v>
      </c>
      <c r="E19" s="129">
        <v>400</v>
      </c>
      <c r="F19" s="129">
        <v>400</v>
      </c>
      <c r="G19" s="129">
        <v>400</v>
      </c>
      <c r="H19" s="129">
        <v>400</v>
      </c>
      <c r="I19" s="129">
        <v>400</v>
      </c>
      <c r="J19" s="129">
        <v>400</v>
      </c>
      <c r="K19" s="129">
        <v>400</v>
      </c>
      <c r="L19" s="129">
        <v>400</v>
      </c>
      <c r="M19" s="129">
        <v>400</v>
      </c>
      <c r="N19" s="129">
        <v>20000</v>
      </c>
    </row>
    <row r="20" spans="1:16" x14ac:dyDescent="0.45">
      <c r="A20" s="140" t="s">
        <v>80</v>
      </c>
      <c r="B20" s="129">
        <v>1667</v>
      </c>
      <c r="C20" s="129">
        <v>1667</v>
      </c>
      <c r="D20" s="129">
        <v>1667</v>
      </c>
      <c r="E20" s="129">
        <v>1667</v>
      </c>
      <c r="F20" s="129">
        <v>1667</v>
      </c>
      <c r="G20" s="129">
        <v>1667</v>
      </c>
      <c r="H20" s="129">
        <v>1667</v>
      </c>
      <c r="I20" s="129">
        <v>1667</v>
      </c>
      <c r="J20" s="129">
        <v>1667</v>
      </c>
      <c r="K20" s="129">
        <v>1667</v>
      </c>
      <c r="L20" s="129">
        <v>1667</v>
      </c>
      <c r="M20" s="129">
        <v>1663</v>
      </c>
      <c r="N20" s="129">
        <v>40000</v>
      </c>
    </row>
    <row r="21" spans="1:16" x14ac:dyDescent="0.45">
      <c r="A21" s="140" t="s">
        <v>81</v>
      </c>
      <c r="B21" s="129">
        <f>60000/12</f>
        <v>5000</v>
      </c>
      <c r="C21" s="129">
        <v>5000</v>
      </c>
      <c r="D21" s="129">
        <v>5000</v>
      </c>
      <c r="E21" s="129">
        <v>5000</v>
      </c>
      <c r="F21" s="129">
        <v>5000</v>
      </c>
      <c r="G21" s="129">
        <v>5000</v>
      </c>
      <c r="H21" s="129">
        <v>5000</v>
      </c>
      <c r="I21" s="129">
        <v>5000</v>
      </c>
      <c r="J21" s="129">
        <v>5000</v>
      </c>
      <c r="K21" s="129">
        <v>5000</v>
      </c>
      <c r="L21" s="129">
        <v>5000</v>
      </c>
      <c r="M21" s="129">
        <v>5000</v>
      </c>
      <c r="N21" s="129">
        <v>5000</v>
      </c>
    </row>
    <row r="22" spans="1:16" x14ac:dyDescent="0.45">
      <c r="A22" s="140" t="s">
        <v>82</v>
      </c>
      <c r="B22" s="129">
        <v>6250</v>
      </c>
      <c r="C22" s="129">
        <v>6250</v>
      </c>
      <c r="D22" s="129">
        <v>6250</v>
      </c>
      <c r="E22" s="129">
        <v>6250</v>
      </c>
      <c r="F22" s="129">
        <v>6250</v>
      </c>
      <c r="G22" s="129">
        <v>6250</v>
      </c>
      <c r="H22" s="129">
        <v>6250</v>
      </c>
      <c r="I22" s="129">
        <v>6250</v>
      </c>
      <c r="J22" s="129">
        <v>6250</v>
      </c>
      <c r="K22" s="129">
        <v>6250</v>
      </c>
      <c r="L22" s="129">
        <v>6250</v>
      </c>
      <c r="M22" s="129">
        <v>6250</v>
      </c>
      <c r="N22" s="129">
        <v>90000</v>
      </c>
    </row>
    <row r="23" spans="1:16" x14ac:dyDescent="0.45">
      <c r="A23" s="140" t="s">
        <v>83</v>
      </c>
      <c r="B23" s="129">
        <f>37500+1500</f>
        <v>39000</v>
      </c>
      <c r="C23" s="129">
        <f t="shared" ref="C23:M23" si="8">37500+1500</f>
        <v>39000</v>
      </c>
      <c r="D23" s="129">
        <f t="shared" si="8"/>
        <v>39000</v>
      </c>
      <c r="E23" s="129">
        <f t="shared" si="8"/>
        <v>39000</v>
      </c>
      <c r="F23" s="129">
        <f t="shared" si="8"/>
        <v>39000</v>
      </c>
      <c r="G23" s="129">
        <f t="shared" si="8"/>
        <v>39000</v>
      </c>
      <c r="H23" s="129">
        <f t="shared" si="8"/>
        <v>39000</v>
      </c>
      <c r="I23" s="129">
        <f t="shared" si="8"/>
        <v>39000</v>
      </c>
      <c r="J23" s="129">
        <f t="shared" si="8"/>
        <v>39000</v>
      </c>
      <c r="K23" s="129">
        <f t="shared" si="8"/>
        <v>39000</v>
      </c>
      <c r="L23" s="129">
        <f t="shared" si="8"/>
        <v>39000</v>
      </c>
      <c r="M23" s="129">
        <f t="shared" si="8"/>
        <v>39000</v>
      </c>
      <c r="N23" s="129">
        <v>480000</v>
      </c>
    </row>
    <row r="24" spans="1:16" x14ac:dyDescent="0.45">
      <c r="A24" s="140" t="s">
        <v>84</v>
      </c>
      <c r="B24" s="129">
        <f>25000/12</f>
        <v>2083.3333333333335</v>
      </c>
      <c r="C24" s="129">
        <f>2083</f>
        <v>2083</v>
      </c>
      <c r="D24" s="129">
        <f>2083</f>
        <v>2083</v>
      </c>
      <c r="E24" s="129">
        <f>2083</f>
        <v>2083</v>
      </c>
      <c r="F24" s="129">
        <f>2083</f>
        <v>2083</v>
      </c>
      <c r="G24" s="129">
        <f>2083</f>
        <v>2083</v>
      </c>
      <c r="H24" s="129">
        <f>2083</f>
        <v>2083</v>
      </c>
      <c r="I24" s="129">
        <f>2083</f>
        <v>2083</v>
      </c>
      <c r="J24" s="129">
        <v>2084</v>
      </c>
      <c r="K24" s="129">
        <v>2084</v>
      </c>
      <c r="L24" s="129">
        <v>2084</v>
      </c>
      <c r="M24" s="129">
        <v>2084</v>
      </c>
      <c r="N24" s="129">
        <v>27000</v>
      </c>
    </row>
    <row r="25" spans="1:16" x14ac:dyDescent="0.45">
      <c r="A25" s="140" t="s">
        <v>85</v>
      </c>
      <c r="B25" s="129">
        <f>12000/12</f>
        <v>1000</v>
      </c>
      <c r="C25" s="129">
        <f>1000</f>
        <v>1000</v>
      </c>
      <c r="D25" s="129">
        <f>1000</f>
        <v>1000</v>
      </c>
      <c r="E25" s="129">
        <f>1000</f>
        <v>1000</v>
      </c>
      <c r="F25" s="129">
        <f>1000</f>
        <v>1000</v>
      </c>
      <c r="G25" s="129">
        <f>1000</f>
        <v>1000</v>
      </c>
      <c r="H25" s="129">
        <f>1000</f>
        <v>1000</v>
      </c>
      <c r="I25" s="129">
        <f>1000</f>
        <v>1000</v>
      </c>
      <c r="J25" s="129">
        <f>1000</f>
        <v>1000</v>
      </c>
      <c r="K25" s="129">
        <f>1000</f>
        <v>1000</v>
      </c>
      <c r="L25" s="129">
        <f>1000</f>
        <v>1000</v>
      </c>
      <c r="M25" s="129">
        <f>1000</f>
        <v>1000</v>
      </c>
      <c r="N25" s="129">
        <v>30000</v>
      </c>
    </row>
    <row r="26" spans="1:16" x14ac:dyDescent="0.45">
      <c r="A26" s="140" t="s">
        <v>86</v>
      </c>
      <c r="B26" s="129">
        <v>11667</v>
      </c>
      <c r="C26" s="129">
        <v>11667</v>
      </c>
      <c r="D26" s="129">
        <v>11667</v>
      </c>
      <c r="E26" s="129">
        <v>11667</v>
      </c>
      <c r="F26" s="129">
        <v>11667</v>
      </c>
      <c r="G26" s="129">
        <v>11667</v>
      </c>
      <c r="H26" s="129">
        <v>11667</v>
      </c>
      <c r="I26" s="129">
        <v>11667</v>
      </c>
      <c r="J26" s="129">
        <v>11667</v>
      </c>
      <c r="K26" s="129">
        <v>11667</v>
      </c>
      <c r="L26" s="129">
        <v>11667</v>
      </c>
      <c r="M26" s="129">
        <v>11663</v>
      </c>
      <c r="N26" s="129">
        <v>140000</v>
      </c>
    </row>
    <row r="27" spans="1:16" x14ac:dyDescent="0.45">
      <c r="A27" s="140" t="s">
        <v>87</v>
      </c>
      <c r="B27" s="130">
        <f>20000/12</f>
        <v>1666.6666666666667</v>
      </c>
      <c r="C27" s="129">
        <v>1667</v>
      </c>
      <c r="D27" s="129">
        <v>1667</v>
      </c>
      <c r="E27" s="129">
        <v>1667</v>
      </c>
      <c r="F27" s="129">
        <v>1667</v>
      </c>
      <c r="G27" s="129">
        <v>1667</v>
      </c>
      <c r="H27" s="129">
        <v>1667</v>
      </c>
      <c r="I27" s="129">
        <v>1667</v>
      </c>
      <c r="J27" s="129">
        <v>1666</v>
      </c>
      <c r="K27" s="129">
        <v>1666</v>
      </c>
      <c r="L27" s="129">
        <v>1666</v>
      </c>
      <c r="M27" s="129">
        <v>1666</v>
      </c>
      <c r="N27" s="129">
        <v>19999.666666666668</v>
      </c>
    </row>
    <row r="28" spans="1:16" x14ac:dyDescent="0.45">
      <c r="A28" s="140" t="s">
        <v>44</v>
      </c>
      <c r="B28" s="129">
        <f>25000/12</f>
        <v>2083.3333333333335</v>
      </c>
      <c r="C28" s="129">
        <f t="shared" ref="C28:M28" si="9">25000/12</f>
        <v>2083.3333333333335</v>
      </c>
      <c r="D28" s="129">
        <f t="shared" si="9"/>
        <v>2083.3333333333335</v>
      </c>
      <c r="E28" s="129">
        <f t="shared" si="9"/>
        <v>2083.3333333333335</v>
      </c>
      <c r="F28" s="129">
        <f t="shared" si="9"/>
        <v>2083.3333333333335</v>
      </c>
      <c r="G28" s="129">
        <f t="shared" si="9"/>
        <v>2083.3333333333335</v>
      </c>
      <c r="H28" s="129">
        <f t="shared" si="9"/>
        <v>2083.3333333333335</v>
      </c>
      <c r="I28" s="129">
        <f t="shared" si="9"/>
        <v>2083.3333333333335</v>
      </c>
      <c r="J28" s="129">
        <f t="shared" si="9"/>
        <v>2083.3333333333335</v>
      </c>
      <c r="K28" s="129">
        <f t="shared" si="9"/>
        <v>2083.3333333333335</v>
      </c>
      <c r="L28" s="129">
        <f t="shared" si="9"/>
        <v>2083.3333333333335</v>
      </c>
      <c r="M28" s="129">
        <f t="shared" si="9"/>
        <v>2083.3333333333335</v>
      </c>
      <c r="N28" s="129">
        <v>10000</v>
      </c>
    </row>
    <row r="29" spans="1:16" x14ac:dyDescent="0.45">
      <c r="A29" s="140" t="s">
        <v>36</v>
      </c>
      <c r="B29" s="129">
        <f>[1]Personalbudget!Q37/12</f>
        <v>40539.38369000001</v>
      </c>
      <c r="C29" s="129">
        <f>[1]Personalbudget!Q37/12</f>
        <v>40539.38369000001</v>
      </c>
      <c r="D29" s="129">
        <f>[1]Personalbudget!Q37/12</f>
        <v>40539.38369000001</v>
      </c>
      <c r="E29" s="129">
        <f>[1]Personalbudget!Q37/12</f>
        <v>40539.38369000001</v>
      </c>
      <c r="F29" s="129">
        <f>[1]Personalbudget!Q37/12</f>
        <v>40539.38369000001</v>
      </c>
      <c r="G29" s="129">
        <f>[1]Personalbudget!Q37/12</f>
        <v>40539.38369000001</v>
      </c>
      <c r="H29" s="129">
        <f>[1]Personalbudget!Q37/12</f>
        <v>40539.38369000001</v>
      </c>
      <c r="I29" s="129">
        <f>[1]Personalbudget!Q37/12</f>
        <v>40539.38369000001</v>
      </c>
      <c r="J29" s="129">
        <f>[1]Personalbudget!Q37/12</f>
        <v>40539.38369000001</v>
      </c>
      <c r="K29" s="129">
        <f>[1]Personalbudget!Q37/12</f>
        <v>40539.38369000001</v>
      </c>
      <c r="L29" s="129">
        <f>[1]Personalbudget!Q37/12</f>
        <v>40539.38369000001</v>
      </c>
      <c r="M29" s="129">
        <f>[1]Personalbudget!Q37/12</f>
        <v>40539.38369000001</v>
      </c>
      <c r="N29" s="129">
        <f>[1]Personalbudget!Q37</f>
        <v>486472.60428000009</v>
      </c>
    </row>
    <row r="30" spans="1:16" x14ac:dyDescent="0.45">
      <c r="A30" s="140" t="s">
        <v>88</v>
      </c>
      <c r="B30" s="129">
        <f>50000/12</f>
        <v>4166.666666666667</v>
      </c>
      <c r="C30" s="129">
        <f t="shared" ref="C30:M30" si="10">50000/12</f>
        <v>4166.666666666667</v>
      </c>
      <c r="D30" s="129">
        <f t="shared" si="10"/>
        <v>4166.666666666667</v>
      </c>
      <c r="E30" s="129">
        <f t="shared" si="10"/>
        <v>4166.666666666667</v>
      </c>
      <c r="F30" s="129">
        <f t="shared" si="10"/>
        <v>4166.666666666667</v>
      </c>
      <c r="G30" s="129">
        <f t="shared" si="10"/>
        <v>4166.666666666667</v>
      </c>
      <c r="H30" s="129">
        <f t="shared" si="10"/>
        <v>4166.666666666667</v>
      </c>
      <c r="I30" s="129">
        <f t="shared" si="10"/>
        <v>4166.666666666667</v>
      </c>
      <c r="J30" s="129">
        <f t="shared" si="10"/>
        <v>4166.666666666667</v>
      </c>
      <c r="K30" s="129">
        <f t="shared" si="10"/>
        <v>4166.666666666667</v>
      </c>
      <c r="L30" s="129">
        <f t="shared" si="10"/>
        <v>4166.666666666667</v>
      </c>
      <c r="M30" s="129">
        <f t="shared" si="10"/>
        <v>4166.666666666667</v>
      </c>
      <c r="N30" s="129">
        <v>50000</v>
      </c>
      <c r="P30" s="102"/>
    </row>
    <row r="31" spans="1:16" x14ac:dyDescent="0.45">
      <c r="A31" s="140" t="s">
        <v>89</v>
      </c>
      <c r="B31" s="129">
        <f>33000/12</f>
        <v>2750</v>
      </c>
      <c r="C31" s="129">
        <f t="shared" ref="C31:M31" si="11">33000/12</f>
        <v>2750</v>
      </c>
      <c r="D31" s="129">
        <f t="shared" si="11"/>
        <v>2750</v>
      </c>
      <c r="E31" s="129">
        <f t="shared" si="11"/>
        <v>2750</v>
      </c>
      <c r="F31" s="129">
        <f t="shared" si="11"/>
        <v>2750</v>
      </c>
      <c r="G31" s="129">
        <f t="shared" si="11"/>
        <v>2750</v>
      </c>
      <c r="H31" s="129">
        <f t="shared" si="11"/>
        <v>2750</v>
      </c>
      <c r="I31" s="129">
        <f t="shared" si="11"/>
        <v>2750</v>
      </c>
      <c r="J31" s="129">
        <f t="shared" si="11"/>
        <v>2750</v>
      </c>
      <c r="K31" s="129">
        <f t="shared" si="11"/>
        <v>2750</v>
      </c>
      <c r="L31" s="129">
        <f t="shared" si="11"/>
        <v>2750</v>
      </c>
      <c r="M31" s="129">
        <f t="shared" si="11"/>
        <v>2750</v>
      </c>
      <c r="N31" s="129">
        <f>13*3000</f>
        <v>39000</v>
      </c>
    </row>
    <row r="32" spans="1:16" x14ac:dyDescent="0.45">
      <c r="A32" s="140" t="s">
        <v>90</v>
      </c>
      <c r="B32" s="129">
        <v>8333</v>
      </c>
      <c r="C32" s="129">
        <v>8333</v>
      </c>
      <c r="D32" s="129">
        <v>8333</v>
      </c>
      <c r="E32" s="129">
        <v>8333</v>
      </c>
      <c r="F32" s="129">
        <v>8333</v>
      </c>
      <c r="G32" s="129">
        <v>8333</v>
      </c>
      <c r="H32" s="129">
        <v>8333</v>
      </c>
      <c r="I32" s="129">
        <v>8333</v>
      </c>
      <c r="J32" s="129">
        <v>8333</v>
      </c>
      <c r="K32" s="129">
        <v>8333</v>
      </c>
      <c r="L32" s="129">
        <v>8333</v>
      </c>
      <c r="M32" s="129">
        <v>8337</v>
      </c>
      <c r="N32" s="129">
        <v>125000</v>
      </c>
    </row>
    <row r="33" spans="1:14" x14ac:dyDescent="0.45">
      <c r="A33" s="140" t="s">
        <v>91</v>
      </c>
      <c r="B33" s="129">
        <v>8333</v>
      </c>
      <c r="C33" s="129">
        <v>8333</v>
      </c>
      <c r="D33" s="129">
        <v>8333</v>
      </c>
      <c r="E33" s="129">
        <v>8333</v>
      </c>
      <c r="F33" s="129">
        <v>8333</v>
      </c>
      <c r="G33" s="129">
        <v>8333</v>
      </c>
      <c r="H33" s="129">
        <v>8333</v>
      </c>
      <c r="I33" s="129">
        <v>8333</v>
      </c>
      <c r="J33" s="129">
        <v>8333</v>
      </c>
      <c r="K33" s="129">
        <v>8333</v>
      </c>
      <c r="L33" s="129">
        <v>8333</v>
      </c>
      <c r="M33" s="129">
        <v>8337</v>
      </c>
      <c r="N33" s="129">
        <v>50000</v>
      </c>
    </row>
    <row r="34" spans="1:14" x14ac:dyDescent="0.45">
      <c r="A34" s="140" t="s">
        <v>92</v>
      </c>
      <c r="B34" s="129">
        <v>26024</v>
      </c>
      <c r="C34" s="129">
        <v>26024</v>
      </c>
      <c r="D34" s="129">
        <v>26024</v>
      </c>
      <c r="E34" s="129">
        <v>26024</v>
      </c>
      <c r="F34" s="129">
        <v>26024</v>
      </c>
      <c r="G34" s="129">
        <v>26024</v>
      </c>
      <c r="H34" s="129">
        <v>26024</v>
      </c>
      <c r="I34" s="129">
        <v>26024</v>
      </c>
      <c r="J34" s="129">
        <v>26024</v>
      </c>
      <c r="K34" s="129">
        <v>26024</v>
      </c>
      <c r="L34" s="129">
        <v>26024</v>
      </c>
      <c r="M34" s="129">
        <v>26024</v>
      </c>
      <c r="N34" s="129">
        <v>81000</v>
      </c>
    </row>
    <row r="35" spans="1:14" x14ac:dyDescent="0.45">
      <c r="A35" s="93" t="s">
        <v>34</v>
      </c>
      <c r="B35" s="86">
        <f t="shared" ref="B35:M35" si="12">SUM(B6:B34)</f>
        <v>216830.05035666664</v>
      </c>
      <c r="C35" s="86">
        <f t="shared" si="12"/>
        <v>216830.38368999999</v>
      </c>
      <c r="D35" s="86">
        <f t="shared" si="12"/>
        <v>216830.38368999999</v>
      </c>
      <c r="E35" s="86">
        <f t="shared" si="12"/>
        <v>216830.38368999999</v>
      </c>
      <c r="F35" s="86">
        <f t="shared" si="12"/>
        <v>216830.38368999999</v>
      </c>
      <c r="G35" s="86">
        <f t="shared" si="12"/>
        <v>216830.38368999999</v>
      </c>
      <c r="H35" s="86">
        <f t="shared" si="12"/>
        <v>216830.38368999999</v>
      </c>
      <c r="I35" s="86">
        <f t="shared" si="12"/>
        <v>216830.38368999999</v>
      </c>
      <c r="J35" s="86">
        <f t="shared" si="12"/>
        <v>216830.38368999999</v>
      </c>
      <c r="K35" s="86">
        <f t="shared" si="12"/>
        <v>216830.38368999999</v>
      </c>
      <c r="L35" s="86">
        <f t="shared" si="12"/>
        <v>216830.38368999999</v>
      </c>
      <c r="M35" s="86">
        <f t="shared" si="12"/>
        <v>216826.38368999999</v>
      </c>
      <c r="N35" s="86">
        <f>SUM(N6:N34)</f>
        <v>3627472.2709466666</v>
      </c>
    </row>
    <row r="36" spans="1:14" x14ac:dyDescent="0.45">
      <c r="B36" s="95"/>
      <c r="D36" s="95"/>
      <c r="E36" s="95"/>
      <c r="F36" s="95"/>
      <c r="G36" s="95"/>
    </row>
    <row r="37" spans="1:14" x14ac:dyDescent="0.45">
      <c r="B37" s="95"/>
      <c r="D37" s="95"/>
      <c r="E37" s="95"/>
      <c r="F37" s="95"/>
      <c r="G37" s="95"/>
    </row>
    <row r="38" spans="1:14" x14ac:dyDescent="0.45">
      <c r="B38" s="95"/>
      <c r="D38" s="95"/>
      <c r="E38" s="95"/>
      <c r="F38" s="95"/>
      <c r="G38" s="95"/>
    </row>
    <row r="39" spans="1:14" x14ac:dyDescent="0.45">
      <c r="B39" s="95"/>
      <c r="C39" s="96"/>
      <c r="D39" s="95"/>
      <c r="E39" s="95"/>
      <c r="F39" s="95"/>
    </row>
    <row r="40" spans="1:14" x14ac:dyDescent="0.45">
      <c r="B40" s="95"/>
      <c r="C40" s="96"/>
      <c r="D40" s="95"/>
      <c r="E40" s="95"/>
      <c r="F40" s="95"/>
      <c r="L40" s="70"/>
    </row>
    <row r="41" spans="1:14" x14ac:dyDescent="0.45">
      <c r="B41" s="95"/>
      <c r="D41" s="95"/>
      <c r="E41" s="95"/>
      <c r="F41" s="95"/>
    </row>
    <row r="42" spans="1:14" x14ac:dyDescent="0.45">
      <c r="B42" s="95"/>
      <c r="D42" s="95"/>
      <c r="E42" s="95"/>
      <c r="F42" s="95"/>
      <c r="L42" s="70"/>
    </row>
    <row r="43" spans="1:14" x14ac:dyDescent="0.45">
      <c r="B43" s="95"/>
      <c r="D43" s="95"/>
      <c r="E43" s="95"/>
      <c r="F43" s="70"/>
    </row>
    <row r="44" spans="1:14" x14ac:dyDescent="0.45">
      <c r="B44" s="95"/>
      <c r="D44" s="95"/>
      <c r="E44" s="95"/>
      <c r="F44" s="70"/>
    </row>
    <row r="45" spans="1:14" x14ac:dyDescent="0.45">
      <c r="B45" s="95"/>
      <c r="D45" s="70"/>
      <c r="E45" s="95"/>
    </row>
    <row r="46" spans="1:14" x14ac:dyDescent="0.45">
      <c r="B46" s="95"/>
      <c r="E46" s="95"/>
    </row>
    <row r="47" spans="1:14" x14ac:dyDescent="0.45">
      <c r="B47" s="95"/>
      <c r="C47" s="96"/>
      <c r="E47" s="95"/>
    </row>
    <row r="48" spans="1:14" x14ac:dyDescent="0.45">
      <c r="B48" s="95"/>
    </row>
    <row r="49" spans="2:2" x14ac:dyDescent="0.45">
      <c r="B49" s="95"/>
    </row>
    <row r="50" spans="2:2" x14ac:dyDescent="0.45">
      <c r="B50" s="95"/>
    </row>
    <row r="51" spans="2:2" x14ac:dyDescent="0.45">
      <c r="B51" s="95"/>
    </row>
    <row r="52" spans="2:2" x14ac:dyDescent="0.45">
      <c r="B52" s="95"/>
    </row>
    <row r="53" spans="2:2" x14ac:dyDescent="0.45">
      <c r="B53" s="70"/>
    </row>
    <row r="54" spans="2:2" x14ac:dyDescent="0.45">
      <c r="B54" s="70"/>
    </row>
    <row r="55" spans="2:2" x14ac:dyDescent="0.45">
      <c r="B55" s="70"/>
    </row>
    <row r="56" spans="2:2" x14ac:dyDescent="0.45">
      <c r="B56" s="70"/>
    </row>
    <row r="57" spans="2:2" x14ac:dyDescent="0.45">
      <c r="B57" s="70"/>
    </row>
    <row r="58" spans="2:2" x14ac:dyDescent="0.45">
      <c r="B58" s="70"/>
    </row>
    <row r="59" spans="2:2" x14ac:dyDescent="0.45">
      <c r="B59" s="70"/>
    </row>
    <row r="60" spans="2:2" x14ac:dyDescent="0.45">
      <c r="B60" s="70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8"/>
  <sheetViews>
    <sheetView zoomScale="70" zoomScaleNormal="70" workbookViewId="0">
      <selection activeCell="Q32" sqref="Q32"/>
    </sheetView>
  </sheetViews>
  <sheetFormatPr defaultColWidth="9.15234375" defaultRowHeight="15" x14ac:dyDescent="0.45"/>
  <cols>
    <col min="1" max="2" width="9.15234375" style="33"/>
    <col min="3" max="3" width="9.3046875" style="33" customWidth="1"/>
    <col min="4" max="4" width="9.15234375" style="33"/>
    <col min="5" max="5" width="11.15234375" style="33" customWidth="1"/>
    <col min="6" max="6" width="14.3046875" style="33" customWidth="1"/>
    <col min="7" max="8" width="20.3828125" style="33" customWidth="1"/>
    <col min="9" max="9" width="16.69140625" style="33" customWidth="1"/>
    <col min="10" max="10" width="15.3046875" style="33" customWidth="1"/>
    <col min="11" max="11" width="14.15234375" style="33" customWidth="1"/>
    <col min="12" max="12" width="13" style="33" customWidth="1"/>
    <col min="13" max="13" width="14.3828125" style="33" customWidth="1"/>
    <col min="14" max="14" width="19" style="33" customWidth="1"/>
    <col min="15" max="15" width="17.3828125" style="33" customWidth="1"/>
    <col min="16" max="16" width="14.3046875" style="33" bestFit="1" customWidth="1"/>
    <col min="17" max="17" width="10.69140625" style="33" customWidth="1"/>
    <col min="18" max="19" width="9.15234375" style="33"/>
    <col min="20" max="20" width="15.15234375" style="33" customWidth="1"/>
    <col min="21" max="16384" width="9.15234375" style="33"/>
  </cols>
  <sheetData>
    <row r="1" spans="1:28" ht="18" x14ac:dyDescent="0.45">
      <c r="A1" s="32" t="s">
        <v>93</v>
      </c>
    </row>
    <row r="2" spans="1:28" ht="16.3" x14ac:dyDescent="0.5">
      <c r="A2" s="34" t="s">
        <v>94</v>
      </c>
      <c r="N2" s="33">
        <f>2321543*4</f>
        <v>9286172</v>
      </c>
    </row>
    <row r="3" spans="1:28" x14ac:dyDescent="0.45">
      <c r="A3" s="33" t="s">
        <v>95</v>
      </c>
      <c r="G3" s="35">
        <v>0.02</v>
      </c>
      <c r="H3" s="35">
        <v>8.0000000000000002E-3</v>
      </c>
      <c r="J3" s="33">
        <f>62500*10%</f>
        <v>6250</v>
      </c>
    </row>
    <row r="4" spans="1:28" x14ac:dyDescent="0.45">
      <c r="A4" s="33" t="s">
        <v>96</v>
      </c>
      <c r="C4" s="33">
        <v>2020</v>
      </c>
      <c r="E4" s="33" t="s">
        <v>97</v>
      </c>
      <c r="F4" s="36">
        <v>66800</v>
      </c>
      <c r="G4" s="35"/>
      <c r="H4" s="35"/>
      <c r="N4" s="33" t="s">
        <v>98</v>
      </c>
      <c r="O4" s="36">
        <f>8890932</f>
        <v>8890932</v>
      </c>
    </row>
    <row r="5" spans="1:28" x14ac:dyDescent="0.45">
      <c r="A5" s="33" t="s">
        <v>99</v>
      </c>
      <c r="E5" s="33">
        <v>2020</v>
      </c>
      <c r="F5" s="35">
        <v>0.24260000000000001</v>
      </c>
      <c r="N5" s="33" t="s">
        <v>100</v>
      </c>
      <c r="O5" s="36">
        <f>1400000</f>
        <v>1400000</v>
      </c>
      <c r="Q5" s="36"/>
    </row>
    <row r="6" spans="1:28" x14ac:dyDescent="0.45">
      <c r="A6" s="33" t="s">
        <v>101</v>
      </c>
      <c r="E6" s="33">
        <v>2020</v>
      </c>
      <c r="F6" s="35">
        <v>0.31419999999999998</v>
      </c>
      <c r="G6" s="35">
        <v>0.1021</v>
      </c>
      <c r="H6" s="35"/>
      <c r="K6" s="33" t="s">
        <v>102</v>
      </c>
      <c r="O6" s="37">
        <f>SUM(O4:O5)</f>
        <v>10290932</v>
      </c>
      <c r="P6" s="37">
        <f>O6</f>
        <v>10290932</v>
      </c>
      <c r="T6" s="54"/>
    </row>
    <row r="7" spans="1:28" x14ac:dyDescent="0.45">
      <c r="A7" s="33" t="s">
        <v>103</v>
      </c>
      <c r="P7" s="36"/>
    </row>
    <row r="8" spans="1:28" x14ac:dyDescent="0.45">
      <c r="P8" s="49"/>
      <c r="Q8" s="49"/>
    </row>
    <row r="9" spans="1:28" ht="16.3" x14ac:dyDescent="0.5">
      <c r="A9" s="38" t="s">
        <v>3</v>
      </c>
      <c r="F9" s="33" t="s">
        <v>104</v>
      </c>
      <c r="G9" s="33" t="s">
        <v>105</v>
      </c>
    </row>
    <row r="10" spans="1:28" x14ac:dyDescent="0.45">
      <c r="A10" s="39" t="s">
        <v>106</v>
      </c>
      <c r="B10" s="40"/>
      <c r="C10" s="40"/>
      <c r="D10" s="40"/>
      <c r="E10" s="40"/>
      <c r="F10" s="39" t="s">
        <v>107</v>
      </c>
      <c r="G10" s="39" t="s">
        <v>107</v>
      </c>
      <c r="H10" s="39" t="s">
        <v>108</v>
      </c>
      <c r="I10" s="39" t="s">
        <v>109</v>
      </c>
      <c r="J10" s="39" t="s">
        <v>101</v>
      </c>
      <c r="K10" s="62" t="s">
        <v>110</v>
      </c>
      <c r="L10" s="39" t="s">
        <v>111</v>
      </c>
      <c r="M10" s="39" t="s">
        <v>112</v>
      </c>
      <c r="N10" s="39" t="s">
        <v>113</v>
      </c>
      <c r="O10" s="39" t="s">
        <v>114</v>
      </c>
    </row>
    <row r="11" spans="1:28" x14ac:dyDescent="0.45">
      <c r="A11" s="40" t="s">
        <v>115</v>
      </c>
      <c r="B11" s="40"/>
      <c r="C11" s="40"/>
      <c r="D11" s="40"/>
      <c r="E11" s="41">
        <v>101</v>
      </c>
      <c r="F11" s="42">
        <f>F4*13/12*4</f>
        <v>289466.66666666669</v>
      </c>
      <c r="G11" s="42">
        <f>F4*13/12*8</f>
        <v>578933.33333333337</v>
      </c>
      <c r="H11" s="42">
        <v>0</v>
      </c>
      <c r="I11" s="42">
        <f>SUM(F11:H11)</f>
        <v>868400</v>
      </c>
      <c r="J11" s="60">
        <f>I11*G6</f>
        <v>88663.64</v>
      </c>
      <c r="K11" s="42">
        <v>0</v>
      </c>
      <c r="L11" s="61">
        <f>K11*F5</f>
        <v>0</v>
      </c>
      <c r="M11" s="42">
        <f>1057*12</f>
        <v>12684</v>
      </c>
      <c r="N11" s="42">
        <f>M11*G6</f>
        <v>1295.0364</v>
      </c>
      <c r="O11" s="42">
        <f>SUM(I11:N11)</f>
        <v>971042.6764</v>
      </c>
      <c r="Q11" s="116" t="s">
        <v>116</v>
      </c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</row>
    <row r="12" spans="1:28" x14ac:dyDescent="0.45">
      <c r="A12" s="40" t="s">
        <v>117</v>
      </c>
      <c r="B12" s="40"/>
      <c r="C12" s="40"/>
      <c r="D12" s="40"/>
      <c r="E12" s="41">
        <v>101</v>
      </c>
      <c r="F12" s="42">
        <f>Styrelsearvode!N26/12*4</f>
        <v>82386.666666666672</v>
      </c>
      <c r="G12" s="42">
        <f>Styrelsearvode!N26/12*8</f>
        <v>164773.33333333334</v>
      </c>
      <c r="H12" s="42">
        <v>0</v>
      </c>
      <c r="I12" s="42">
        <f>SUM(F12:H12)</f>
        <v>247160</v>
      </c>
      <c r="J12" s="42">
        <f>I12*F6</f>
        <v>77657.671999999991</v>
      </c>
      <c r="K12" s="63">
        <v>0</v>
      </c>
      <c r="L12" s="42">
        <v>0</v>
      </c>
      <c r="M12" s="42">
        <v>0</v>
      </c>
      <c r="N12" s="42">
        <f>M12*F7</f>
        <v>0</v>
      </c>
      <c r="O12" s="42">
        <f>SUM(I12:N12)</f>
        <v>324817.67200000002</v>
      </c>
    </row>
    <row r="13" spans="1:28" x14ac:dyDescent="0.45">
      <c r="A13" s="40" t="s">
        <v>118</v>
      </c>
      <c r="B13" s="40"/>
      <c r="C13" s="40"/>
      <c r="D13" s="40"/>
      <c r="E13" s="40"/>
      <c r="F13" s="43">
        <f t="shared" ref="F13:O13" si="0">SUM(F11:F12)</f>
        <v>371853.33333333337</v>
      </c>
      <c r="G13" s="43">
        <f t="shared" si="0"/>
        <v>743706.66666666674</v>
      </c>
      <c r="H13" s="43">
        <f t="shared" si="0"/>
        <v>0</v>
      </c>
      <c r="I13" s="43">
        <f t="shared" si="0"/>
        <v>1115560</v>
      </c>
      <c r="J13" s="43">
        <f t="shared" si="0"/>
        <v>166321.31199999998</v>
      </c>
      <c r="K13" s="43">
        <f t="shared" si="0"/>
        <v>0</v>
      </c>
      <c r="L13" s="43">
        <f t="shared" si="0"/>
        <v>0</v>
      </c>
      <c r="M13" s="43">
        <f t="shared" si="0"/>
        <v>12684</v>
      </c>
      <c r="N13" s="43">
        <f t="shared" si="0"/>
        <v>1295.0364</v>
      </c>
      <c r="O13" s="43">
        <f t="shared" si="0"/>
        <v>1295860.3484</v>
      </c>
      <c r="P13" s="44">
        <f>O13/P6</f>
        <v>0.12592254505228487</v>
      </c>
    </row>
    <row r="14" spans="1:28" x14ac:dyDescent="0.4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5"/>
    </row>
    <row r="15" spans="1:28" ht="16.3" x14ac:dyDescent="0.5">
      <c r="A15" s="38" t="s">
        <v>119</v>
      </c>
      <c r="F15" s="36" t="s">
        <v>104</v>
      </c>
      <c r="G15" s="36" t="s">
        <v>105</v>
      </c>
      <c r="H15" s="36"/>
      <c r="I15" s="36"/>
      <c r="J15" s="36"/>
      <c r="K15" s="36"/>
      <c r="L15" s="36"/>
      <c r="M15" s="36"/>
      <c r="N15" s="36"/>
      <c r="O15" s="36"/>
      <c r="P15" s="45"/>
    </row>
    <row r="16" spans="1:28" x14ac:dyDescent="0.45">
      <c r="A16" s="39" t="s">
        <v>106</v>
      </c>
      <c r="B16" s="40"/>
      <c r="C16" s="40"/>
      <c r="D16" s="40"/>
      <c r="E16" s="40"/>
      <c r="F16" s="43" t="s">
        <v>107</v>
      </c>
      <c r="G16" s="43" t="s">
        <v>107</v>
      </c>
      <c r="H16" s="43" t="s">
        <v>108</v>
      </c>
      <c r="I16" s="43" t="s">
        <v>109</v>
      </c>
      <c r="J16" s="43" t="s">
        <v>101</v>
      </c>
      <c r="K16" s="43" t="s">
        <v>110</v>
      </c>
      <c r="L16" s="43" t="s">
        <v>111</v>
      </c>
      <c r="M16" s="43" t="s">
        <v>112</v>
      </c>
      <c r="N16" s="43" t="s">
        <v>113</v>
      </c>
      <c r="O16" s="43" t="s">
        <v>114</v>
      </c>
      <c r="P16" s="45"/>
    </row>
    <row r="17" spans="1:23" x14ac:dyDescent="0.45">
      <c r="A17" s="40" t="s">
        <v>120</v>
      </c>
      <c r="B17" s="40"/>
      <c r="C17" s="40"/>
      <c r="D17" s="40" t="s">
        <v>121</v>
      </c>
      <c r="E17" s="41">
        <v>201</v>
      </c>
      <c r="F17" s="42">
        <f>62000*4</f>
        <v>248000</v>
      </c>
      <c r="G17" s="42">
        <f>(62000)*8</f>
        <v>496000</v>
      </c>
      <c r="H17" s="42">
        <f>62000*0.8%*30</f>
        <v>14880</v>
      </c>
      <c r="I17" s="42">
        <f>SUM(F17:H17)</f>
        <v>758880</v>
      </c>
      <c r="J17" s="42">
        <f>I17*F6</f>
        <v>238440.09599999999</v>
      </c>
      <c r="K17" s="42">
        <f>(18749*12)*55%</f>
        <v>123743.40000000001</v>
      </c>
      <c r="L17" s="42">
        <f>K17*F5</f>
        <v>30020.148840000002</v>
      </c>
      <c r="M17" s="42">
        <f>1057*12</f>
        <v>12684</v>
      </c>
      <c r="N17" s="42">
        <f>M17*F6</f>
        <v>3985.3127999999997</v>
      </c>
      <c r="O17" s="42">
        <f>SUM(I17:N17)</f>
        <v>1167752.9576399999</v>
      </c>
      <c r="P17" s="45"/>
      <c r="Q17" s="116" t="s">
        <v>122</v>
      </c>
      <c r="R17" s="33">
        <f>211252+3657</f>
        <v>214909</v>
      </c>
    </row>
    <row r="18" spans="1:23" x14ac:dyDescent="0.45">
      <c r="A18" s="40" t="s">
        <v>118</v>
      </c>
      <c r="B18" s="40"/>
      <c r="C18" s="40"/>
      <c r="D18" s="40"/>
      <c r="E18" s="40"/>
      <c r="F18" s="43">
        <f t="shared" ref="F18:O18" si="1">SUM(F17:F17)</f>
        <v>248000</v>
      </c>
      <c r="G18" s="43">
        <f t="shared" si="1"/>
        <v>496000</v>
      </c>
      <c r="H18" s="43">
        <f t="shared" si="1"/>
        <v>14880</v>
      </c>
      <c r="I18" s="43">
        <f t="shared" si="1"/>
        <v>758880</v>
      </c>
      <c r="J18" s="43">
        <f t="shared" si="1"/>
        <v>238440.09599999999</v>
      </c>
      <c r="K18" s="43">
        <f t="shared" si="1"/>
        <v>123743.40000000001</v>
      </c>
      <c r="L18" s="43">
        <f t="shared" si="1"/>
        <v>30020.148840000002</v>
      </c>
      <c r="M18" s="43">
        <f t="shared" si="1"/>
        <v>12684</v>
      </c>
      <c r="N18" s="43">
        <f t="shared" si="1"/>
        <v>3985.3127999999997</v>
      </c>
      <c r="O18" s="43">
        <f t="shared" si="1"/>
        <v>1167752.9576399999</v>
      </c>
      <c r="P18" s="44">
        <f>O18/P6</f>
        <v>0.11347397472260043</v>
      </c>
    </row>
    <row r="19" spans="1:23" x14ac:dyDescent="0.45"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5"/>
    </row>
    <row r="20" spans="1:23" ht="16.3" x14ac:dyDescent="0.5">
      <c r="A20" s="38" t="s">
        <v>123</v>
      </c>
      <c r="F20" s="36" t="s">
        <v>104</v>
      </c>
      <c r="G20" s="36" t="s">
        <v>105</v>
      </c>
      <c r="H20" s="36"/>
      <c r="I20" s="36"/>
      <c r="J20" s="36"/>
      <c r="K20" s="36"/>
      <c r="L20" s="36"/>
      <c r="M20" s="36"/>
      <c r="N20" s="36"/>
      <c r="O20" s="36"/>
      <c r="P20" s="45"/>
    </row>
    <row r="21" spans="1:23" x14ac:dyDescent="0.45">
      <c r="A21" s="39" t="s">
        <v>106</v>
      </c>
      <c r="B21" s="40"/>
      <c r="C21" s="40"/>
      <c r="D21" s="40"/>
      <c r="E21" s="40"/>
      <c r="F21" s="43" t="s">
        <v>107</v>
      </c>
      <c r="G21" s="43" t="s">
        <v>107</v>
      </c>
      <c r="H21" s="43" t="s">
        <v>108</v>
      </c>
      <c r="I21" s="43" t="s">
        <v>109</v>
      </c>
      <c r="J21" s="43" t="s">
        <v>101</v>
      </c>
      <c r="K21" s="43" t="s">
        <v>110</v>
      </c>
      <c r="L21" s="43" t="s">
        <v>111</v>
      </c>
      <c r="M21" s="43" t="s">
        <v>112</v>
      </c>
      <c r="N21" s="43" t="s">
        <v>113</v>
      </c>
      <c r="O21" s="43" t="s">
        <v>114</v>
      </c>
      <c r="P21" s="45"/>
    </row>
    <row r="22" spans="1:23" x14ac:dyDescent="0.45">
      <c r="A22" s="40" t="s">
        <v>124</v>
      </c>
      <c r="B22" s="40"/>
      <c r="C22" s="40"/>
      <c r="D22" s="40" t="s">
        <v>125</v>
      </c>
      <c r="E22" s="41">
        <v>206</v>
      </c>
      <c r="F22" s="42">
        <f>(42894+8260)*4</f>
        <v>204616</v>
      </c>
      <c r="G22" s="42">
        <f>(42894+8260+(42894*G3))*8</f>
        <v>416095.04</v>
      </c>
      <c r="H22" s="42">
        <f>(42894+8260)*0.8%*30</f>
        <v>12276.960000000001</v>
      </c>
      <c r="I22" s="42">
        <f>SUM(F22:H22)</f>
        <v>632988</v>
      </c>
      <c r="J22" s="42">
        <f>I22*F6</f>
        <v>198884.8296</v>
      </c>
      <c r="K22" s="42">
        <f>(((9974)*12))*55%</f>
        <v>65828.400000000009</v>
      </c>
      <c r="L22" s="42">
        <f>K22*F5</f>
        <v>15969.969840000003</v>
      </c>
      <c r="M22" s="42">
        <f>1057*12</f>
        <v>12684</v>
      </c>
      <c r="N22" s="42">
        <f>M22*F6</f>
        <v>3985.3127999999997</v>
      </c>
      <c r="O22" s="42">
        <f>SUM(I22:N22)</f>
        <v>930340.51224000007</v>
      </c>
      <c r="P22" s="45"/>
      <c r="R22" s="116" t="s">
        <v>126</v>
      </c>
      <c r="S22" s="116"/>
      <c r="T22" s="116"/>
      <c r="U22" s="116"/>
      <c r="V22" s="116"/>
      <c r="W22" s="116"/>
    </row>
    <row r="23" spans="1:23" x14ac:dyDescent="0.45">
      <c r="A23" s="40" t="s">
        <v>127</v>
      </c>
      <c r="B23" s="40"/>
      <c r="C23" s="40"/>
      <c r="D23" s="40" t="s">
        <v>128</v>
      </c>
      <c r="E23" s="41">
        <v>206</v>
      </c>
      <c r="F23" s="42">
        <f>43000*4</f>
        <v>172000</v>
      </c>
      <c r="G23" s="42">
        <f>43000*8</f>
        <v>344000</v>
      </c>
      <c r="H23" s="42">
        <f>43000*0.8%*30</f>
        <v>10320</v>
      </c>
      <c r="I23" s="42">
        <f>SUM(F23:H23)</f>
        <v>526320</v>
      </c>
      <c r="J23" s="42">
        <f>I23*F6</f>
        <v>165369.74399999998</v>
      </c>
      <c r="K23" s="126">
        <v>44000</v>
      </c>
      <c r="L23" s="42">
        <f>K23*F5</f>
        <v>10674.4</v>
      </c>
      <c r="M23" s="42">
        <f>1057*12</f>
        <v>12684</v>
      </c>
      <c r="N23" s="42">
        <f>M23*F6</f>
        <v>3985.3127999999997</v>
      </c>
      <c r="O23" s="42">
        <f>SUM(I23:N23)</f>
        <v>763033.45679999993</v>
      </c>
      <c r="P23" s="45"/>
      <c r="Q23" s="116" t="s">
        <v>129</v>
      </c>
    </row>
    <row r="24" spans="1:23" x14ac:dyDescent="0.45">
      <c r="A24" s="40" t="s">
        <v>127</v>
      </c>
      <c r="B24" s="40"/>
      <c r="C24" s="40"/>
      <c r="D24" s="40" t="s">
        <v>130</v>
      </c>
      <c r="E24" s="41">
        <v>206</v>
      </c>
      <c r="F24" s="42">
        <f>42894*4</f>
        <v>171576</v>
      </c>
      <c r="G24" s="42">
        <f>(42894+(42894*G3))*8</f>
        <v>350015.04</v>
      </c>
      <c r="H24" s="42">
        <f>42894*0.8%*30</f>
        <v>10294.56</v>
      </c>
      <c r="I24" s="42">
        <f>SUM(F24:H24)</f>
        <v>531885.6</v>
      </c>
      <c r="J24" s="42">
        <f>I24*F6</f>
        <v>167118.45551999999</v>
      </c>
      <c r="K24" s="42">
        <f>(((6403)*12))*55%</f>
        <v>42259.8</v>
      </c>
      <c r="L24" s="42">
        <f>K24*F5</f>
        <v>10252.227480000001</v>
      </c>
      <c r="M24" s="42">
        <f>1057*12</f>
        <v>12684</v>
      </c>
      <c r="N24" s="42">
        <f>M24*F6</f>
        <v>3985.3127999999997</v>
      </c>
      <c r="O24" s="42">
        <f>SUM(I24:N24)</f>
        <v>768185.39579999994</v>
      </c>
      <c r="P24" s="45"/>
    </row>
    <row r="25" spans="1:23" x14ac:dyDescent="0.45">
      <c r="A25" s="40" t="s">
        <v>127</v>
      </c>
      <c r="B25" s="40"/>
      <c r="C25" s="40"/>
      <c r="D25" s="40" t="s">
        <v>131</v>
      </c>
      <c r="E25" s="41">
        <v>206</v>
      </c>
      <c r="F25" s="42">
        <f>43800*4</f>
        <v>175200</v>
      </c>
      <c r="G25" s="42">
        <f>43800*8</f>
        <v>350400</v>
      </c>
      <c r="H25" s="42">
        <f>43800*0.8%*30</f>
        <v>10512.000000000002</v>
      </c>
      <c r="I25" s="42">
        <f>SUM(F25:H25)</f>
        <v>536112</v>
      </c>
      <c r="J25" s="42">
        <f>I25*F6</f>
        <v>168446.39039999997</v>
      </c>
      <c r="K25" s="127">
        <v>44000</v>
      </c>
      <c r="L25" s="42">
        <f>K25*F5</f>
        <v>10674.4</v>
      </c>
      <c r="M25" s="42">
        <f>1057*12</f>
        <v>12684</v>
      </c>
      <c r="N25" s="42">
        <f>M25*F6</f>
        <v>3985.3127999999997</v>
      </c>
      <c r="O25" s="42">
        <f>SUM(I25:N25)</f>
        <v>775902.1031999999</v>
      </c>
      <c r="P25" s="45"/>
      <c r="Q25" s="116" t="s">
        <v>129</v>
      </c>
    </row>
    <row r="26" spans="1:23" x14ac:dyDescent="0.45">
      <c r="A26" s="40" t="s">
        <v>132</v>
      </c>
      <c r="B26" s="40"/>
      <c r="C26" s="58"/>
      <c r="D26" s="40" t="s">
        <v>133</v>
      </c>
      <c r="E26" s="41">
        <v>206</v>
      </c>
      <c r="F26" s="42">
        <f>47036*4</f>
        <v>188144</v>
      </c>
      <c r="G26" s="42">
        <f>(47036+(47036*G3))*8</f>
        <v>383813.76</v>
      </c>
      <c r="H26" s="42">
        <v>47036</v>
      </c>
      <c r="I26" s="42">
        <f>SUM(F26:H26)</f>
        <v>618993.76</v>
      </c>
      <c r="J26" s="42">
        <f>I26*F6</f>
        <v>194487.83939199999</v>
      </c>
      <c r="K26" s="42">
        <f>(((8613)*12))*55%</f>
        <v>56845.8</v>
      </c>
      <c r="L26" s="42">
        <f>K26*F5</f>
        <v>13790.791080000001</v>
      </c>
      <c r="M26" s="42">
        <f>1057*12</f>
        <v>12684</v>
      </c>
      <c r="N26" s="42">
        <f>M26*F6</f>
        <v>3985.3127999999997</v>
      </c>
      <c r="O26" s="42">
        <f>SUM(I26:N26)</f>
        <v>900787.503272</v>
      </c>
      <c r="P26" s="45"/>
    </row>
    <row r="27" spans="1:23" x14ac:dyDescent="0.45">
      <c r="A27" s="40" t="s">
        <v>118</v>
      </c>
      <c r="B27" s="40"/>
      <c r="C27" s="40"/>
      <c r="D27" s="40"/>
      <c r="E27" s="40"/>
      <c r="F27" s="43">
        <f t="shared" ref="F27:O27" si="2">SUM(F22:F26)</f>
        <v>911536</v>
      </c>
      <c r="G27" s="43">
        <f t="shared" si="2"/>
        <v>1844323.84</v>
      </c>
      <c r="H27" s="43">
        <f t="shared" si="2"/>
        <v>90439.51999999999</v>
      </c>
      <c r="I27" s="43">
        <f t="shared" si="2"/>
        <v>2846299.3600000003</v>
      </c>
      <c r="J27" s="43">
        <f t="shared" si="2"/>
        <v>894307.25891199999</v>
      </c>
      <c r="K27" s="43">
        <f t="shared" si="2"/>
        <v>252934</v>
      </c>
      <c r="L27" s="43">
        <f t="shared" si="2"/>
        <v>61361.788400000005</v>
      </c>
      <c r="M27" s="43">
        <f t="shared" si="2"/>
        <v>63420</v>
      </c>
      <c r="N27" s="43">
        <f t="shared" si="2"/>
        <v>19926.563999999998</v>
      </c>
      <c r="O27" s="43">
        <f t="shared" si="2"/>
        <v>4138248.9713119995</v>
      </c>
      <c r="P27" s="44">
        <f>O27/P6</f>
        <v>0.40212577163195712</v>
      </c>
      <c r="S27" s="33">
        <f>924707+19574</f>
        <v>944281</v>
      </c>
    </row>
    <row r="28" spans="1:23" x14ac:dyDescent="0.45"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45"/>
    </row>
    <row r="29" spans="1:23" ht="16.3" x14ac:dyDescent="0.5">
      <c r="A29" s="38" t="s">
        <v>134</v>
      </c>
      <c r="F29" s="36" t="s">
        <v>104</v>
      </c>
      <c r="G29" s="36" t="s">
        <v>105</v>
      </c>
      <c r="H29" s="36"/>
      <c r="I29" s="36"/>
      <c r="J29" s="36"/>
      <c r="K29" s="36"/>
      <c r="L29" s="36"/>
      <c r="M29" s="36"/>
      <c r="N29" s="36"/>
      <c r="O29" s="36"/>
      <c r="P29" s="45"/>
    </row>
    <row r="30" spans="1:23" x14ac:dyDescent="0.45">
      <c r="A30" s="39" t="s">
        <v>106</v>
      </c>
      <c r="B30" s="40"/>
      <c r="C30" s="40"/>
      <c r="D30" s="40"/>
      <c r="E30" s="40"/>
      <c r="F30" s="43" t="s">
        <v>107</v>
      </c>
      <c r="G30" s="43" t="s">
        <v>107</v>
      </c>
      <c r="H30" s="43" t="s">
        <v>108</v>
      </c>
      <c r="I30" s="43" t="s">
        <v>109</v>
      </c>
      <c r="J30" s="43" t="s">
        <v>101</v>
      </c>
      <c r="K30" s="43" t="s">
        <v>110</v>
      </c>
      <c r="L30" s="43" t="s">
        <v>111</v>
      </c>
      <c r="M30" s="43" t="s">
        <v>112</v>
      </c>
      <c r="N30" s="43" t="s">
        <v>113</v>
      </c>
      <c r="O30" s="43" t="s">
        <v>114</v>
      </c>
      <c r="P30" s="45"/>
    </row>
    <row r="31" spans="1:23" x14ac:dyDescent="0.45">
      <c r="A31" s="40" t="s">
        <v>135</v>
      </c>
      <c r="B31" s="40"/>
      <c r="C31" s="40"/>
      <c r="D31" s="40" t="s">
        <v>136</v>
      </c>
      <c r="E31" s="41">
        <v>901</v>
      </c>
      <c r="F31" s="42">
        <f>33606*4</f>
        <v>134424</v>
      </c>
      <c r="G31" s="42">
        <f>(33606+(33606*G3))*8</f>
        <v>274224.96000000002</v>
      </c>
      <c r="H31" s="42">
        <f>33606*0.8%*30</f>
        <v>8065.4400000000005</v>
      </c>
      <c r="I31" s="42">
        <f>SUM(F31:H31)</f>
        <v>416714.4</v>
      </c>
      <c r="J31" s="42">
        <f>I31*F6</f>
        <v>130931.66447999999</v>
      </c>
      <c r="K31" s="42">
        <f>(((33606)*12))*50%</f>
        <v>201636</v>
      </c>
      <c r="L31" s="42">
        <f>K31*F5</f>
        <v>48916.893600000003</v>
      </c>
      <c r="M31" s="42">
        <f>1057*12</f>
        <v>12684</v>
      </c>
      <c r="N31" s="42">
        <f>M31*F6</f>
        <v>3985.3127999999997</v>
      </c>
      <c r="O31" s="42">
        <f>SUM(I31:N31)</f>
        <v>814868.27087999997</v>
      </c>
      <c r="P31" s="45"/>
    </row>
    <row r="32" spans="1:23" x14ac:dyDescent="0.45">
      <c r="A32" s="40" t="s">
        <v>137</v>
      </c>
      <c r="B32" s="40"/>
      <c r="C32" s="40"/>
      <c r="D32" s="40" t="s">
        <v>130</v>
      </c>
      <c r="E32" s="41">
        <v>901</v>
      </c>
      <c r="F32" s="42">
        <f>19739*4</f>
        <v>78956</v>
      </c>
      <c r="G32" s="42">
        <f>(19739+(19739*G3))*8</f>
        <v>161070.24</v>
      </c>
      <c r="H32" s="42">
        <f>19390*0.8%*30</f>
        <v>4653.6000000000004</v>
      </c>
      <c r="I32" s="42">
        <f>SUM(F32:H32)</f>
        <v>244679.84</v>
      </c>
      <c r="J32" s="42">
        <f>I32*F6</f>
        <v>76878.405727999998</v>
      </c>
      <c r="K32" s="42">
        <f>(((1433)*12))*55%</f>
        <v>9457.8000000000011</v>
      </c>
      <c r="L32" s="42">
        <f>K32*F5</f>
        <v>2294.4622800000002</v>
      </c>
      <c r="M32" s="42">
        <f>294*12</f>
        <v>3528</v>
      </c>
      <c r="N32" s="42">
        <f>M32*F6</f>
        <v>1108.4975999999999</v>
      </c>
      <c r="O32" s="42">
        <f>SUM(I32:N32)</f>
        <v>337947.00560799998</v>
      </c>
      <c r="P32" s="45"/>
      <c r="Q32" s="116" t="s">
        <v>138</v>
      </c>
      <c r="R32" s="116"/>
    </row>
    <row r="33" spans="1:16" x14ac:dyDescent="0.45">
      <c r="A33" s="40" t="s">
        <v>118</v>
      </c>
      <c r="B33" s="40"/>
      <c r="C33" s="40"/>
      <c r="D33" s="40"/>
      <c r="E33" s="40"/>
      <c r="F33" s="43">
        <f t="shared" ref="F33:O33" si="3">SUM(F31:F31)</f>
        <v>134424</v>
      </c>
      <c r="G33" s="43">
        <f t="shared" si="3"/>
        <v>274224.96000000002</v>
      </c>
      <c r="H33" s="43">
        <f t="shared" si="3"/>
        <v>8065.4400000000005</v>
      </c>
      <c r="I33" s="43">
        <f t="shared" si="3"/>
        <v>416714.4</v>
      </c>
      <c r="J33" s="43">
        <f t="shared" si="3"/>
        <v>130931.66447999999</v>
      </c>
      <c r="K33" s="43">
        <f t="shared" si="3"/>
        <v>201636</v>
      </c>
      <c r="L33" s="43">
        <f t="shared" si="3"/>
        <v>48916.893600000003</v>
      </c>
      <c r="M33" s="43">
        <f t="shared" si="3"/>
        <v>12684</v>
      </c>
      <c r="N33" s="43">
        <f t="shared" si="3"/>
        <v>3985.3127999999997</v>
      </c>
      <c r="O33" s="43">
        <f t="shared" si="3"/>
        <v>814868.27087999997</v>
      </c>
      <c r="P33" s="44">
        <f>O33/P6</f>
        <v>7.918313626792986E-2</v>
      </c>
    </row>
    <row r="34" spans="1:16" x14ac:dyDescent="0.45"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45"/>
    </row>
    <row r="35" spans="1:16" ht="16.3" x14ac:dyDescent="0.5">
      <c r="A35" s="118" t="s">
        <v>139</v>
      </c>
      <c r="B35" s="119"/>
      <c r="C35" s="119"/>
      <c r="D35" s="119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1"/>
      <c r="P35" s="122"/>
    </row>
    <row r="36" spans="1:16" ht="16.3" x14ac:dyDescent="0.5">
      <c r="A36" s="118" t="s">
        <v>140</v>
      </c>
      <c r="B36" s="119"/>
      <c r="C36" s="119"/>
      <c r="D36" s="119"/>
      <c r="E36" s="119"/>
      <c r="F36" s="121">
        <f t="shared" ref="F36:N36" si="4">F13+F18+F27+F33</f>
        <v>1665813.3333333335</v>
      </c>
      <c r="G36" s="121">
        <f t="shared" si="4"/>
        <v>3358255.4666666668</v>
      </c>
      <c r="H36" s="121">
        <f t="shared" si="4"/>
        <v>113384.95999999999</v>
      </c>
      <c r="I36" s="121">
        <f t="shared" si="4"/>
        <v>5137453.7600000007</v>
      </c>
      <c r="J36" s="121">
        <f t="shared" si="4"/>
        <v>1430000.331392</v>
      </c>
      <c r="K36" s="121">
        <f t="shared" si="4"/>
        <v>578313.4</v>
      </c>
      <c r="L36" s="121">
        <f t="shared" si="4"/>
        <v>140298.83084000001</v>
      </c>
      <c r="M36" s="121">
        <f t="shared" si="4"/>
        <v>101472</v>
      </c>
      <c r="N36" s="121">
        <f t="shared" si="4"/>
        <v>29192.225999999999</v>
      </c>
      <c r="O36" s="121">
        <f>SUM(I36:N36)</f>
        <v>7416730.5482320013</v>
      </c>
      <c r="P36" s="123">
        <f>O36/P6</f>
        <v>0.72070542767477241</v>
      </c>
    </row>
    <row r="37" spans="1:16" x14ac:dyDescent="0.45">
      <c r="A37" s="46" t="s">
        <v>141</v>
      </c>
    </row>
    <row r="38" spans="1:16" x14ac:dyDescent="0.45">
      <c r="D38" s="5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"/>
  <sheetViews>
    <sheetView workbookViewId="0">
      <selection activeCell="N26" sqref="N26"/>
    </sheetView>
  </sheetViews>
  <sheetFormatPr defaultRowHeight="14.6" x14ac:dyDescent="0.4"/>
  <cols>
    <col min="1" max="1" width="21.15234375" customWidth="1"/>
    <col min="2" max="2" width="6.3828125" style="47" customWidth="1"/>
    <col min="3" max="3" width="7.3828125" customWidth="1"/>
    <col min="4" max="4" width="6.3828125" customWidth="1"/>
    <col min="5" max="5" width="7.3828125" customWidth="1"/>
    <col min="6" max="8" width="6.3828125" customWidth="1"/>
    <col min="9" max="9" width="7.3828125" customWidth="1"/>
    <col min="10" max="10" width="6.3828125" customWidth="1"/>
    <col min="11" max="11" width="7.3828125" customWidth="1"/>
    <col min="12" max="12" width="6.3828125" customWidth="1"/>
    <col min="13" max="13" width="7.3828125" customWidth="1"/>
  </cols>
  <sheetData>
    <row r="1" spans="1:16" x14ac:dyDescent="0.4">
      <c r="A1" t="s">
        <v>142</v>
      </c>
      <c r="B1" s="47" t="s">
        <v>143</v>
      </c>
      <c r="E1" s="47">
        <v>66800</v>
      </c>
      <c r="G1" s="51"/>
      <c r="H1" s="51"/>
      <c r="I1" s="48"/>
      <c r="J1" s="48"/>
    </row>
    <row r="2" spans="1:16" x14ac:dyDescent="0.4">
      <c r="G2" s="51"/>
      <c r="H2" s="51"/>
    </row>
    <row r="3" spans="1:16" x14ac:dyDescent="0.4">
      <c r="A3" t="s">
        <v>144</v>
      </c>
      <c r="B3" s="52" t="s">
        <v>145</v>
      </c>
      <c r="C3" s="50" t="s">
        <v>146</v>
      </c>
      <c r="D3" s="50" t="s">
        <v>147</v>
      </c>
      <c r="E3" s="50" t="s">
        <v>148</v>
      </c>
      <c r="F3" s="50" t="s">
        <v>149</v>
      </c>
      <c r="G3" s="50" t="s">
        <v>150</v>
      </c>
      <c r="H3" s="50" t="s">
        <v>151</v>
      </c>
      <c r="I3" s="50" t="s">
        <v>152</v>
      </c>
      <c r="J3" s="50" t="s">
        <v>153</v>
      </c>
      <c r="K3" s="50" t="s">
        <v>154</v>
      </c>
      <c r="L3" s="50" t="s">
        <v>155</v>
      </c>
      <c r="M3" s="50" t="s">
        <v>156</v>
      </c>
      <c r="N3" s="50" t="s">
        <v>157</v>
      </c>
    </row>
    <row r="4" spans="1:16" x14ac:dyDescent="0.4">
      <c r="C4" s="47"/>
      <c r="D4" s="47"/>
    </row>
    <row r="5" spans="1:16" x14ac:dyDescent="0.4">
      <c r="A5" t="s">
        <v>158</v>
      </c>
      <c r="B5" s="47">
        <f>$E$1*13/12</f>
        <v>72366.666666666672</v>
      </c>
      <c r="C5" s="47">
        <f t="shared" ref="C5:M5" si="0">$E$1*13/12</f>
        <v>72366.666666666672</v>
      </c>
      <c r="D5" s="47">
        <f t="shared" si="0"/>
        <v>72366.666666666672</v>
      </c>
      <c r="E5" s="47">
        <f t="shared" si="0"/>
        <v>72366.666666666672</v>
      </c>
      <c r="F5" s="47">
        <f t="shared" si="0"/>
        <v>72366.666666666672</v>
      </c>
      <c r="G5" s="47">
        <f t="shared" si="0"/>
        <v>72366.666666666672</v>
      </c>
      <c r="H5" s="47">
        <f t="shared" si="0"/>
        <v>72366.666666666672</v>
      </c>
      <c r="I5" s="47">
        <f t="shared" si="0"/>
        <v>72366.666666666672</v>
      </c>
      <c r="J5" s="47">
        <f t="shared" si="0"/>
        <v>72366.666666666672</v>
      </c>
      <c r="K5" s="47">
        <f t="shared" si="0"/>
        <v>72366.666666666672</v>
      </c>
      <c r="L5" s="47">
        <f t="shared" si="0"/>
        <v>72366.666666666672</v>
      </c>
      <c r="M5" s="47">
        <f t="shared" si="0"/>
        <v>72366.666666666672</v>
      </c>
      <c r="N5" s="49">
        <f>SUM(B5:M5)</f>
        <v>868399.99999999988</v>
      </c>
      <c r="P5" s="47"/>
    </row>
    <row r="6" spans="1:16" x14ac:dyDescent="0.4">
      <c r="A6" t="s">
        <v>159</v>
      </c>
      <c r="C6" s="47"/>
      <c r="D6" s="47"/>
      <c r="N6" s="51"/>
    </row>
    <row r="7" spans="1:16" x14ac:dyDescent="0.4">
      <c r="A7" t="s">
        <v>160</v>
      </c>
      <c r="C7" s="47"/>
      <c r="D7" s="47"/>
      <c r="N7" s="51"/>
    </row>
    <row r="8" spans="1:16" x14ac:dyDescent="0.4">
      <c r="A8" t="s">
        <v>161</v>
      </c>
      <c r="B8" s="47">
        <f>$E$1*75%/12</f>
        <v>4175</v>
      </c>
      <c r="C8" s="47">
        <f t="shared" ref="C8:M9" si="1">$E$1*75%/12</f>
        <v>4175</v>
      </c>
      <c r="D8" s="47">
        <f t="shared" si="1"/>
        <v>4175</v>
      </c>
      <c r="E8" s="47">
        <f t="shared" si="1"/>
        <v>4175</v>
      </c>
      <c r="F8" s="47">
        <f t="shared" si="1"/>
        <v>4175</v>
      </c>
      <c r="G8" s="47">
        <f t="shared" si="1"/>
        <v>4175</v>
      </c>
      <c r="H8" s="47">
        <f t="shared" si="1"/>
        <v>4175</v>
      </c>
      <c r="I8" s="47">
        <f t="shared" si="1"/>
        <v>4175</v>
      </c>
      <c r="J8" s="47">
        <f t="shared" si="1"/>
        <v>4175</v>
      </c>
      <c r="K8" s="47">
        <f t="shared" si="1"/>
        <v>4175</v>
      </c>
      <c r="L8" s="47">
        <f t="shared" si="1"/>
        <v>4175</v>
      </c>
      <c r="M8" s="47">
        <f t="shared" si="1"/>
        <v>4175</v>
      </c>
      <c r="N8" s="49">
        <f>SUM(B8:M8)</f>
        <v>50100</v>
      </c>
    </row>
    <row r="9" spans="1:16" x14ac:dyDescent="0.4">
      <c r="A9" t="s">
        <v>161</v>
      </c>
      <c r="B9" s="47">
        <f>$E$1*75%/12</f>
        <v>4175</v>
      </c>
      <c r="C9" s="47">
        <f t="shared" si="1"/>
        <v>4175</v>
      </c>
      <c r="D9" s="47">
        <f t="shared" si="1"/>
        <v>4175</v>
      </c>
      <c r="E9" s="47">
        <f t="shared" si="1"/>
        <v>4175</v>
      </c>
      <c r="F9" s="47">
        <f t="shared" si="1"/>
        <v>4175</v>
      </c>
      <c r="G9" s="47">
        <f t="shared" si="1"/>
        <v>4175</v>
      </c>
      <c r="H9" s="47">
        <f t="shared" si="1"/>
        <v>4175</v>
      </c>
      <c r="I9" s="47">
        <f t="shared" si="1"/>
        <v>4175</v>
      </c>
      <c r="J9" s="47">
        <f t="shared" si="1"/>
        <v>4175</v>
      </c>
      <c r="K9" s="47">
        <f t="shared" si="1"/>
        <v>4175</v>
      </c>
      <c r="L9" s="47">
        <f t="shared" si="1"/>
        <v>4175</v>
      </c>
      <c r="M9" s="47">
        <f t="shared" si="1"/>
        <v>4175</v>
      </c>
      <c r="N9" s="49">
        <f>SUM(B9:M9)</f>
        <v>50100</v>
      </c>
    </row>
    <row r="10" spans="1:16" x14ac:dyDescent="0.4">
      <c r="C10" s="47"/>
      <c r="D10" s="47"/>
      <c r="E10" s="47"/>
      <c r="F10" s="47"/>
      <c r="N10" s="49"/>
    </row>
    <row r="11" spans="1:16" x14ac:dyDescent="0.4">
      <c r="A11" t="s">
        <v>162</v>
      </c>
      <c r="C11" s="47"/>
      <c r="D11" s="47"/>
      <c r="E11" s="47"/>
      <c r="F11" s="47"/>
      <c r="N11" s="51"/>
    </row>
    <row r="12" spans="1:16" x14ac:dyDescent="0.4">
      <c r="C12" s="47"/>
      <c r="D12" s="47"/>
      <c r="E12" s="47"/>
      <c r="F12" s="47"/>
      <c r="N12" s="51"/>
    </row>
    <row r="13" spans="1:16" x14ac:dyDescent="0.4">
      <c r="A13" t="s">
        <v>163</v>
      </c>
      <c r="B13" s="47">
        <f t="shared" ref="B13:B18" si="2">$E$1*30%/12</f>
        <v>1670</v>
      </c>
      <c r="C13" s="47">
        <f t="shared" ref="C13:M18" si="3">$E$1*30%/12</f>
        <v>1670</v>
      </c>
      <c r="D13" s="47">
        <f t="shared" si="3"/>
        <v>1670</v>
      </c>
      <c r="E13" s="47">
        <f t="shared" si="3"/>
        <v>1670</v>
      </c>
      <c r="F13" s="47">
        <f t="shared" si="3"/>
        <v>1670</v>
      </c>
      <c r="G13" s="47">
        <f t="shared" si="3"/>
        <v>1670</v>
      </c>
      <c r="H13" s="47">
        <f t="shared" si="3"/>
        <v>1670</v>
      </c>
      <c r="I13" s="47">
        <f t="shared" si="3"/>
        <v>1670</v>
      </c>
      <c r="J13" s="47">
        <f t="shared" si="3"/>
        <v>1670</v>
      </c>
      <c r="K13" s="47">
        <f t="shared" si="3"/>
        <v>1670</v>
      </c>
      <c r="L13" s="47">
        <f t="shared" si="3"/>
        <v>1670</v>
      </c>
      <c r="M13" s="47">
        <f t="shared" si="3"/>
        <v>1670</v>
      </c>
      <c r="N13" s="49">
        <f t="shared" ref="N13:N18" si="4">SUM(B13:M13)</f>
        <v>20040</v>
      </c>
    </row>
    <row r="14" spans="1:16" x14ac:dyDescent="0.4">
      <c r="A14" t="s">
        <v>164</v>
      </c>
      <c r="B14" s="47">
        <f t="shared" si="2"/>
        <v>1670</v>
      </c>
      <c r="C14" s="47">
        <f t="shared" si="3"/>
        <v>1670</v>
      </c>
      <c r="D14" s="47">
        <f t="shared" si="3"/>
        <v>1670</v>
      </c>
      <c r="E14" s="47">
        <f t="shared" si="3"/>
        <v>1670</v>
      </c>
      <c r="F14" s="47">
        <f t="shared" si="3"/>
        <v>1670</v>
      </c>
      <c r="G14" s="47">
        <f t="shared" si="3"/>
        <v>1670</v>
      </c>
      <c r="H14" s="47">
        <f t="shared" si="3"/>
        <v>1670</v>
      </c>
      <c r="I14" s="47">
        <f t="shared" si="3"/>
        <v>1670</v>
      </c>
      <c r="J14" s="47">
        <f t="shared" si="3"/>
        <v>1670</v>
      </c>
      <c r="K14" s="47">
        <f t="shared" si="3"/>
        <v>1670</v>
      </c>
      <c r="L14" s="47">
        <f t="shared" si="3"/>
        <v>1670</v>
      </c>
      <c r="M14" s="47">
        <f t="shared" si="3"/>
        <v>1670</v>
      </c>
      <c r="N14" s="49">
        <f t="shared" si="4"/>
        <v>20040</v>
      </c>
    </row>
    <row r="15" spans="1:16" x14ac:dyDescent="0.4">
      <c r="A15" t="s">
        <v>165</v>
      </c>
      <c r="B15" s="47">
        <f t="shared" si="2"/>
        <v>1670</v>
      </c>
      <c r="C15" s="47">
        <f t="shared" si="3"/>
        <v>1670</v>
      </c>
      <c r="D15" s="47">
        <f t="shared" si="3"/>
        <v>1670</v>
      </c>
      <c r="E15" s="47">
        <f t="shared" si="3"/>
        <v>1670</v>
      </c>
      <c r="F15" s="47">
        <f t="shared" si="3"/>
        <v>1670</v>
      </c>
      <c r="G15" s="47">
        <f t="shared" si="3"/>
        <v>1670</v>
      </c>
      <c r="H15" s="47">
        <f t="shared" si="3"/>
        <v>1670</v>
      </c>
      <c r="I15" s="47">
        <f t="shared" si="3"/>
        <v>1670</v>
      </c>
      <c r="J15" s="47">
        <f t="shared" si="3"/>
        <v>1670</v>
      </c>
      <c r="K15" s="47">
        <f t="shared" si="3"/>
        <v>1670</v>
      </c>
      <c r="L15" s="47">
        <f t="shared" si="3"/>
        <v>1670</v>
      </c>
      <c r="M15" s="47">
        <f t="shared" si="3"/>
        <v>1670</v>
      </c>
      <c r="N15" s="49">
        <f t="shared" si="4"/>
        <v>20040</v>
      </c>
    </row>
    <row r="16" spans="1:16" x14ac:dyDescent="0.4">
      <c r="A16" t="s">
        <v>166</v>
      </c>
      <c r="B16" s="47">
        <f t="shared" si="2"/>
        <v>1670</v>
      </c>
      <c r="C16" s="47">
        <f t="shared" si="3"/>
        <v>1670</v>
      </c>
      <c r="D16" s="47">
        <f t="shared" si="3"/>
        <v>1670</v>
      </c>
      <c r="E16" s="47">
        <f t="shared" si="3"/>
        <v>1670</v>
      </c>
      <c r="F16" s="47">
        <f t="shared" si="3"/>
        <v>1670</v>
      </c>
      <c r="G16" s="47">
        <f t="shared" si="3"/>
        <v>1670</v>
      </c>
      <c r="H16" s="47">
        <f t="shared" si="3"/>
        <v>1670</v>
      </c>
      <c r="I16" s="47">
        <f t="shared" si="3"/>
        <v>1670</v>
      </c>
      <c r="J16" s="47">
        <f t="shared" si="3"/>
        <v>1670</v>
      </c>
      <c r="K16" s="47">
        <f t="shared" si="3"/>
        <v>1670</v>
      </c>
      <c r="L16" s="47">
        <f t="shared" si="3"/>
        <v>1670</v>
      </c>
      <c r="M16" s="47">
        <f t="shared" si="3"/>
        <v>1670</v>
      </c>
      <c r="N16" s="49">
        <f t="shared" si="4"/>
        <v>20040</v>
      </c>
    </row>
    <row r="17" spans="1:16" x14ac:dyDescent="0.4">
      <c r="A17" t="s">
        <v>161</v>
      </c>
      <c r="B17" s="47">
        <f t="shared" si="2"/>
        <v>1670</v>
      </c>
      <c r="C17" s="47">
        <f t="shared" si="3"/>
        <v>1670</v>
      </c>
      <c r="D17" s="47">
        <f t="shared" si="3"/>
        <v>1670</v>
      </c>
      <c r="E17" s="47">
        <f t="shared" si="3"/>
        <v>1670</v>
      </c>
      <c r="F17" s="47">
        <f t="shared" si="3"/>
        <v>1670</v>
      </c>
      <c r="G17" s="47">
        <f t="shared" si="3"/>
        <v>1670</v>
      </c>
      <c r="H17" s="47">
        <f t="shared" si="3"/>
        <v>1670</v>
      </c>
      <c r="I17" s="47">
        <f t="shared" si="3"/>
        <v>1670</v>
      </c>
      <c r="J17" s="47">
        <f t="shared" si="3"/>
        <v>1670</v>
      </c>
      <c r="K17" s="47">
        <f t="shared" si="3"/>
        <v>1670</v>
      </c>
      <c r="L17" s="47">
        <f t="shared" si="3"/>
        <v>1670</v>
      </c>
      <c r="M17" s="47">
        <f t="shared" si="3"/>
        <v>1670</v>
      </c>
      <c r="N17" s="49">
        <f t="shared" si="4"/>
        <v>20040</v>
      </c>
    </row>
    <row r="18" spans="1:16" x14ac:dyDescent="0.4">
      <c r="A18" t="s">
        <v>161</v>
      </c>
      <c r="B18" s="47">
        <f t="shared" si="2"/>
        <v>1670</v>
      </c>
      <c r="C18" s="47">
        <f t="shared" si="3"/>
        <v>1670</v>
      </c>
      <c r="D18" s="47">
        <f t="shared" si="3"/>
        <v>1670</v>
      </c>
      <c r="E18" s="47">
        <f t="shared" si="3"/>
        <v>1670</v>
      </c>
      <c r="F18" s="47">
        <f t="shared" si="3"/>
        <v>1670</v>
      </c>
      <c r="G18" s="47">
        <f t="shared" si="3"/>
        <v>1670</v>
      </c>
      <c r="H18" s="47">
        <f t="shared" si="3"/>
        <v>1670</v>
      </c>
      <c r="I18" s="47">
        <f t="shared" si="3"/>
        <v>1670</v>
      </c>
      <c r="J18" s="47">
        <f t="shared" si="3"/>
        <v>1670</v>
      </c>
      <c r="K18" s="47">
        <f t="shared" si="3"/>
        <v>1670</v>
      </c>
      <c r="L18" s="47">
        <f t="shared" si="3"/>
        <v>1670</v>
      </c>
      <c r="M18" s="47">
        <f t="shared" si="3"/>
        <v>1670</v>
      </c>
      <c r="N18" s="49">
        <f t="shared" si="4"/>
        <v>20040</v>
      </c>
    </row>
    <row r="19" spans="1:16" x14ac:dyDescent="0.4">
      <c r="C19" s="47"/>
      <c r="D19" s="47"/>
      <c r="E19" s="47"/>
      <c r="F19" s="47"/>
      <c r="N19" s="49"/>
    </row>
    <row r="20" spans="1:16" x14ac:dyDescent="0.4">
      <c r="A20" t="s">
        <v>167</v>
      </c>
      <c r="N20" s="51"/>
    </row>
    <row r="21" spans="1:16" x14ac:dyDescent="0.4">
      <c r="C21" s="47"/>
      <c r="D21" s="47"/>
      <c r="E21" s="47"/>
      <c r="F21" s="47"/>
      <c r="N21" s="51"/>
    </row>
    <row r="22" spans="1:16" x14ac:dyDescent="0.4">
      <c r="A22" t="s">
        <v>168</v>
      </c>
      <c r="B22" s="47">
        <f>$E$1*20%/12</f>
        <v>1113.3333333333333</v>
      </c>
      <c r="C22" s="47">
        <f t="shared" ref="C22:M23" si="5">$E$1*20%/12</f>
        <v>1113.3333333333333</v>
      </c>
      <c r="D22" s="47">
        <f t="shared" si="5"/>
        <v>1113.3333333333333</v>
      </c>
      <c r="E22" s="47">
        <f t="shared" si="5"/>
        <v>1113.3333333333333</v>
      </c>
      <c r="F22" s="47">
        <f t="shared" si="5"/>
        <v>1113.3333333333333</v>
      </c>
      <c r="G22" s="47">
        <f t="shared" si="5"/>
        <v>1113.3333333333333</v>
      </c>
      <c r="H22" s="47">
        <f t="shared" si="5"/>
        <v>1113.3333333333333</v>
      </c>
      <c r="I22" s="47">
        <f t="shared" si="5"/>
        <v>1113.3333333333333</v>
      </c>
      <c r="J22" s="47">
        <f t="shared" si="5"/>
        <v>1113.3333333333333</v>
      </c>
      <c r="K22" s="47">
        <f t="shared" si="5"/>
        <v>1113.3333333333333</v>
      </c>
      <c r="L22" s="47">
        <f t="shared" si="5"/>
        <v>1113.3333333333333</v>
      </c>
      <c r="M22" s="47">
        <f t="shared" si="5"/>
        <v>1113.3333333333333</v>
      </c>
      <c r="N22" s="49">
        <f>SUM(B22:M22)</f>
        <v>13360.000000000002</v>
      </c>
    </row>
    <row r="23" spans="1:16" x14ac:dyDescent="0.4">
      <c r="B23" s="47">
        <f>$E$1*20%/12</f>
        <v>1113.3333333333333</v>
      </c>
      <c r="C23" s="47">
        <f t="shared" si="5"/>
        <v>1113.3333333333333</v>
      </c>
      <c r="D23" s="47">
        <f t="shared" si="5"/>
        <v>1113.3333333333333</v>
      </c>
      <c r="E23" s="47">
        <f t="shared" si="5"/>
        <v>1113.3333333333333</v>
      </c>
      <c r="F23" s="47">
        <f t="shared" si="5"/>
        <v>1113.3333333333333</v>
      </c>
      <c r="G23" s="47">
        <f t="shared" si="5"/>
        <v>1113.3333333333333</v>
      </c>
      <c r="H23" s="47">
        <f t="shared" si="5"/>
        <v>1113.3333333333333</v>
      </c>
      <c r="I23" s="47">
        <f t="shared" si="5"/>
        <v>1113.3333333333333</v>
      </c>
      <c r="J23" s="47">
        <f t="shared" si="5"/>
        <v>1113.3333333333333</v>
      </c>
      <c r="K23" s="47">
        <f t="shared" si="5"/>
        <v>1113.3333333333333</v>
      </c>
      <c r="L23" s="47">
        <f t="shared" si="5"/>
        <v>1113.3333333333333</v>
      </c>
      <c r="M23" s="47">
        <f t="shared" si="5"/>
        <v>1113.3333333333333</v>
      </c>
      <c r="N23" s="49">
        <f>SUM(B23:M23)</f>
        <v>13360.000000000002</v>
      </c>
      <c r="P23" s="53"/>
    </row>
    <row r="24" spans="1:16" x14ac:dyDescent="0.4">
      <c r="C24" s="47"/>
      <c r="D24" s="47"/>
      <c r="E24" s="47"/>
      <c r="F24" s="47"/>
      <c r="N24" s="49"/>
    </row>
    <row r="25" spans="1:16" x14ac:dyDescent="0.4">
      <c r="C25" s="47"/>
      <c r="D25" s="47"/>
      <c r="E25" s="47"/>
      <c r="F25" s="47"/>
      <c r="N25" s="47"/>
    </row>
    <row r="26" spans="1:16" x14ac:dyDescent="0.4">
      <c r="A26" t="s">
        <v>169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9">
        <f>SUM(N8:N23)</f>
        <v>247160</v>
      </c>
      <c r="P26" s="47"/>
    </row>
    <row r="27" spans="1:16" x14ac:dyDescent="0.4">
      <c r="C27" s="47"/>
      <c r="D27" s="47"/>
      <c r="N27" s="51"/>
    </row>
    <row r="28" spans="1:16" x14ac:dyDescent="0.4">
      <c r="C28" s="47"/>
      <c r="D28" s="47"/>
      <c r="N28" s="49"/>
    </row>
    <row r="30" spans="1:16" x14ac:dyDescent="0.4">
      <c r="A30" s="51" t="s">
        <v>170</v>
      </c>
      <c r="B30" s="49">
        <f>SUM(B5:B26)</f>
        <v>92963.333333333328</v>
      </c>
      <c r="C30" s="49">
        <f t="shared" ref="C30:M30" si="6">SUM(C5:C26)</f>
        <v>92963.333333333328</v>
      </c>
      <c r="D30" s="49">
        <f t="shared" si="6"/>
        <v>92963.333333333328</v>
      </c>
      <c r="E30" s="49">
        <f t="shared" si="6"/>
        <v>92963.333333333328</v>
      </c>
      <c r="F30" s="49">
        <f t="shared" si="6"/>
        <v>92963.333333333328</v>
      </c>
      <c r="G30" s="49">
        <f t="shared" si="6"/>
        <v>92963.333333333328</v>
      </c>
      <c r="H30" s="49">
        <f t="shared" si="6"/>
        <v>92963.333333333328</v>
      </c>
      <c r="I30" s="49">
        <f t="shared" si="6"/>
        <v>92963.333333333328</v>
      </c>
      <c r="J30" s="49">
        <f t="shared" si="6"/>
        <v>92963.333333333328</v>
      </c>
      <c r="K30" s="49">
        <f t="shared" si="6"/>
        <v>92963.333333333328</v>
      </c>
      <c r="L30" s="49">
        <f t="shared" si="6"/>
        <v>92963.333333333328</v>
      </c>
      <c r="M30" s="49">
        <f t="shared" si="6"/>
        <v>92963.333333333328</v>
      </c>
      <c r="N30" s="49">
        <f>SUM(B30:M30)</f>
        <v>1115560.0000000002</v>
      </c>
    </row>
    <row r="31" spans="1:16" x14ac:dyDescent="0.4">
      <c r="A31" s="51" t="s">
        <v>171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5"/>
  <sheetViews>
    <sheetView workbookViewId="0">
      <selection activeCell="B11" sqref="B11"/>
    </sheetView>
  </sheetViews>
  <sheetFormatPr defaultRowHeight="14.6" x14ac:dyDescent="0.4"/>
  <cols>
    <col min="2" max="2" width="9.15234375" style="55" customWidth="1"/>
    <col min="4" max="4" width="9.84375" bestFit="1" customWidth="1"/>
    <col min="6" max="6" width="11" bestFit="1" customWidth="1"/>
    <col min="10" max="10" width="10.15234375" customWidth="1"/>
  </cols>
  <sheetData>
    <row r="1" spans="1:14" ht="18.45" x14ac:dyDescent="0.5">
      <c r="A1" s="3">
        <v>2018</v>
      </c>
      <c r="J1" s="3"/>
    </row>
    <row r="3" spans="1:14" x14ac:dyDescent="0.4">
      <c r="D3" s="47">
        <f>Personalbudget!P6</f>
        <v>10290932</v>
      </c>
      <c r="L3" s="47"/>
    </row>
    <row r="4" spans="1:14" x14ac:dyDescent="0.4">
      <c r="D4" s="47"/>
      <c r="L4" s="47"/>
      <c r="M4" s="67"/>
    </row>
    <row r="5" spans="1:14" x14ac:dyDescent="0.4">
      <c r="A5">
        <v>101</v>
      </c>
      <c r="B5" s="55">
        <v>0.18651100000000001</v>
      </c>
      <c r="D5" s="47">
        <f>D3*B5/12</f>
        <v>159947.66818766668</v>
      </c>
      <c r="F5">
        <v>1919375</v>
      </c>
      <c r="H5">
        <f>F5/D3</f>
        <v>0.18651128974518538</v>
      </c>
      <c r="J5" s="55"/>
      <c r="L5" s="47"/>
    </row>
    <row r="6" spans="1:14" x14ac:dyDescent="0.4">
      <c r="A6">
        <v>201</v>
      </c>
      <c r="B6" s="55">
        <v>0.115396</v>
      </c>
      <c r="D6" s="47">
        <f>D3*B6/12</f>
        <v>98961.032422666671</v>
      </c>
      <c r="F6">
        <v>1187536</v>
      </c>
      <c r="H6">
        <f>F6/D3</f>
        <v>0.11539635088444856</v>
      </c>
      <c r="J6" s="55"/>
      <c r="L6" s="47"/>
    </row>
    <row r="7" spans="1:14" x14ac:dyDescent="0.4">
      <c r="D7" s="47"/>
      <c r="J7" s="55"/>
      <c r="L7" s="47"/>
    </row>
    <row r="8" spans="1:14" x14ac:dyDescent="0.4">
      <c r="A8">
        <v>205</v>
      </c>
      <c r="B8" s="55">
        <v>0.02</v>
      </c>
      <c r="D8" s="47">
        <f>D3*B8/12</f>
        <v>17151.553333333333</v>
      </c>
      <c r="J8" s="55"/>
      <c r="L8" s="47"/>
    </row>
    <row r="9" spans="1:14" x14ac:dyDescent="0.4">
      <c r="A9">
        <v>206</v>
      </c>
      <c r="B9" s="55">
        <v>0.33389999999999997</v>
      </c>
      <c r="D9" s="47">
        <f>D3*B9/12</f>
        <v>286345.18289999996</v>
      </c>
      <c r="J9" s="55"/>
      <c r="L9" s="47"/>
    </row>
    <row r="10" spans="1:14" x14ac:dyDescent="0.4">
      <c r="A10">
        <v>901</v>
      </c>
      <c r="B10" s="55">
        <v>0.34420000000000001</v>
      </c>
      <c r="D10" s="47">
        <f>D3*B10/12</f>
        <v>295178.23286666669</v>
      </c>
      <c r="J10" s="55"/>
      <c r="L10" s="47"/>
    </row>
    <row r="11" spans="1:14" x14ac:dyDescent="0.4">
      <c r="B11" s="115">
        <f>SUM(B5:B10)</f>
        <v>1.0000070000000001</v>
      </c>
      <c r="D11" s="47"/>
      <c r="J11" s="55"/>
      <c r="L11" s="47"/>
    </row>
    <row r="12" spans="1:14" x14ac:dyDescent="0.4">
      <c r="D12" s="47"/>
      <c r="J12" s="66"/>
      <c r="L12" s="47"/>
    </row>
    <row r="13" spans="1:14" x14ac:dyDescent="0.4">
      <c r="D13" s="47">
        <f>SUM(D5:D12)</f>
        <v>857583.66971033346</v>
      </c>
      <c r="L13" s="47"/>
    </row>
    <row r="14" spans="1:14" x14ac:dyDescent="0.4">
      <c r="D14" s="47">
        <f>D13*12</f>
        <v>10291004.036524002</v>
      </c>
      <c r="L14" s="47"/>
      <c r="N14" s="47"/>
    </row>
    <row r="15" spans="1:14" x14ac:dyDescent="0.4">
      <c r="D15" s="47"/>
      <c r="L15" s="4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37EAAE5A12404DB0BE1772A4954218" ma:contentTypeVersion="15" ma:contentTypeDescription="Skapa ett nytt dokument." ma:contentTypeScope="" ma:versionID="34136402068cdb079525e9f644a7dd7b">
  <xsd:schema xmlns:xsd="http://www.w3.org/2001/XMLSchema" xmlns:xs="http://www.w3.org/2001/XMLSchema" xmlns:p="http://schemas.microsoft.com/office/2006/metadata/properties" xmlns:ns2="67d30642-fa2f-414a-9a18-777ac9862fba" xmlns:ns3="3fbc1420-511f-47cb-944e-8b9078521f49" targetNamespace="http://schemas.microsoft.com/office/2006/metadata/properties" ma:root="true" ma:fieldsID="496c1beb4a13aae40384b8cd354942a8" ns2:_="" ns3:_="">
    <xsd:import namespace="67d30642-fa2f-414a-9a18-777ac9862fba"/>
    <xsd:import namespace="3fbc1420-511f-47cb-944e-8b9078521f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30642-fa2f-414a-9a18-777ac9862f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c1420-511f-47cb-944e-8b9078521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F52BE-CD90-4499-BF8B-6C24823F6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C84D9-80F8-46EA-98CB-0B5AAAB006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7D649CF-16CD-457A-82E8-C29596C448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8747A0F-7A68-4101-8A35-AD3BF0C26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d30642-fa2f-414a-9a18-777ac9862fba"/>
    <ds:schemaRef ds:uri="3fbc1420-511f-47cb-944e-8b9078521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Total</vt:lpstr>
      <vt:lpstr>101&amp;201</vt:lpstr>
      <vt:lpstr>201</vt:lpstr>
      <vt:lpstr>205</vt:lpstr>
      <vt:lpstr>206</vt:lpstr>
      <vt:lpstr>901</vt:lpstr>
      <vt:lpstr>Personalbudget</vt:lpstr>
      <vt:lpstr>Styrelsearvode</vt:lpstr>
      <vt:lpstr>Förd.medlemsavg%</vt:lpstr>
      <vt:lpstr>Spec.lokal</vt:lpstr>
      <vt:lpstr>Spec.</vt:lpstr>
      <vt:lpstr>Spec. städ</vt:lpstr>
    </vt:vector>
  </TitlesOfParts>
  <Manager/>
  <Company>HSO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Jeanette Ä</dc:creator>
  <cp:keywords/>
  <dc:description/>
  <cp:lastModifiedBy>Nicklas Mårtensson</cp:lastModifiedBy>
  <cp:revision/>
  <dcterms:created xsi:type="dcterms:W3CDTF">2012-11-21T07:58:41Z</dcterms:created>
  <dcterms:modified xsi:type="dcterms:W3CDTF">2023-04-03T11:08:09Z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TaxHTField">
    <vt:lpwstr/>
  </property>
  <property fmtid="{D5CDD505-2E9C-101B-9397-08002B2CF9AE}" pid="3" name="TaxKeyword">
    <vt:lpwstr/>
  </property>
  <property fmtid="{D5CDD505-2E9C-101B-9397-08002B2CF9AE}" pid="4" name="TaxCatchAll">
    <vt:lpwstr/>
  </property>
</Properties>
</file>